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<sst xmlns="http://schemas.openxmlformats.org/spreadsheetml/2006/main" count="166" uniqueCount="119">
  <si>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</si>
  <si>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</si>
  <si>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</si>
  <si>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</si>
  <si>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</si>
  <si>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</si>
  <si>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</si>
  <si>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</si>
  <si>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</si>
  <si>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</si>
  <si>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</si>
  <si>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</si>
  <si>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</si>
  <si>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</si>
  <si>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</si>
  <si>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</si>
  <si>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</si>
  <si>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</si>
  <si>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</si>
  <si>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</si>
  <si>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</si>
  <si>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</si>
  <si>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</si>
  <si>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</si>
  <si>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</si>
  <si>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</si>
  <si>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</si>
  <si>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</si>
  <si>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</si>
  <si>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</si>
  <si>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</si>
  <si>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</si>
  <si>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</si>
  <si>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</si>
  <si>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</si>
  <si>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</si>
  <si>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</si>
  <si>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</si>
  <si>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</si>
  <si>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</si>
  <si>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</si>
  <si>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</si>
  <si>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</si>
  <si>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</si>
  <si>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</si>
  <si>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</si>
  <si>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</si>
  <si>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</si>
  <si>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</si>
  <si>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</si>
  <si>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</si>
  <si>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</si>
  <si>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</si>
  <si>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</si>
  <si>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</si>
  <si>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</si>
  <si>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</si>
  <si>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</si>
  <si>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</si>
  <si>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</si>
  <si>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</si>
  <si>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</si>
  <si>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</si>
  <si>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</si>
  <si>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</si>
  <si>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</si>
  <si>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</si>
  <si>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</si>
  <si>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</si>
  <si>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</si>
  <si>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</si>
  <si>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</si>
  <si>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</si>
  <si>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</si>
  <si>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</si>
  <si>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</si>
  <si>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</si>
  <si>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</si>
  <si>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</si>
  <si>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</si>
  <si>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</si>
  <si>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</si>
  <si>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</si>
  <si>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</si>
  <si>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</si>
  <si>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</si>
  <si>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</si>
  <si>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</si>
  <si>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</si>
  <si>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</si>
  <si>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</si>
  <si>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</si>
  <si>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</si>
  <si>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</si>
  <si>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</si>
  <si>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</si>
  <si>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</si>
  <si>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</si>
  <si>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</si>
  <si>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</si>
  <si>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</si>
  <si>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</si>
  <si>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</si>
  <si>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</si>
  <si>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</si>
  <si>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</si>
  <si>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</si>
  <si>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</si>
  <si>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</si>
  <si>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</si>
  <si>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</si>
  <si>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</si>
  <si>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</si>
  <si>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</si>
  <si>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</si>
  <si>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</si>
  <si>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</si>
  <si>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</si>
  <si>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2015 рік станом на 12.05.2015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</si>
</sst>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48575.5</c:v>
                </c:pt>
                <c:pt idx="1">
                  <c:v>39638</c:v>
                </c:pt>
                <c:pt idx="2">
                  <c:v>2406.5</c:v>
                </c:pt>
                <c:pt idx="3">
                  <c:v>6531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15029.499999999996</c:v>
                </c:pt>
                <c:pt idx="1">
                  <c:v>12927.400000000001</c:v>
                </c:pt>
                <c:pt idx="2">
                  <c:v>533.6999999999999</c:v>
                </c:pt>
                <c:pt idx="3">
                  <c:v>1568.399999999995</c:v>
                </c:pt>
              </c:numCache>
            </c:numRef>
          </c:val>
          <c:shape val="box"/>
        </c:ser>
        <c:shape val="box"/>
        <c:axId val="35170716"/>
        <c:axId val="48100989"/>
      </c:bar3DChart>
      <c:catAx>
        <c:axId val="35170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00989"/>
        <c:crosses val="autoZero"/>
        <c:auto val="1"/>
        <c:lblOffset val="100"/>
        <c:tickLblSkip val="1"/>
        <c:noMultiLvlLbl val="0"/>
      </c:catAx>
      <c:valAx>
        <c:axId val="48100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0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337508.6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22109.6</c:v>
                </c:pt>
                <c:pt idx="5">
                  <c:v>59404.7</c:v>
                </c:pt>
                <c:pt idx="6">
                  <c:v>286.2</c:v>
                </c:pt>
                <c:pt idx="7">
                  <c:v>3698.1999999999725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105144.70000000001</c:v>
                </c:pt>
                <c:pt idx="1">
                  <c:v>48708.599999999984</c:v>
                </c:pt>
                <c:pt idx="2">
                  <c:v>76760.8</c:v>
                </c:pt>
                <c:pt idx="3">
                  <c:v>2</c:v>
                </c:pt>
                <c:pt idx="4">
                  <c:v>6384.4</c:v>
                </c:pt>
                <c:pt idx="5">
                  <c:v>20780.3</c:v>
                </c:pt>
                <c:pt idx="6">
                  <c:v>49</c:v>
                </c:pt>
                <c:pt idx="7">
                  <c:v>1168.200000000008</c:v>
                </c:pt>
              </c:numCache>
            </c:numRef>
          </c:val>
          <c:shape val="box"/>
        </c:ser>
        <c:shape val="box"/>
        <c:axId val="30255718"/>
        <c:axId val="3866007"/>
      </c:bar3D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57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226168.90000000002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15024.300000000027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59278.5</c:v>
                </c:pt>
                <c:pt idx="1">
                  <c:v>56986.99999999999</c:v>
                </c:pt>
                <c:pt idx="2">
                  <c:v>45251.399999999994</c:v>
                </c:pt>
                <c:pt idx="3">
                  <c:v>2098.9999999999995</c:v>
                </c:pt>
                <c:pt idx="4">
                  <c:v>806.0000000000001</c:v>
                </c:pt>
                <c:pt idx="5">
                  <c:v>7335</c:v>
                </c:pt>
                <c:pt idx="6">
                  <c:v>415.79999999999995</c:v>
                </c:pt>
                <c:pt idx="7">
                  <c:v>3371.3000000000056</c:v>
                </c:pt>
              </c:numCache>
            </c:numRef>
          </c:val>
          <c:shape val="box"/>
        </c:ser>
        <c:shape val="box"/>
        <c:axId val="34794064"/>
        <c:axId val="44711121"/>
      </c:bar3D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1121"/>
        <c:crosses val="autoZero"/>
        <c:auto val="1"/>
        <c:lblOffset val="100"/>
        <c:tickLblSkip val="1"/>
        <c:noMultiLvlLbl val="0"/>
      </c:catAx>
      <c:valAx>
        <c:axId val="447111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940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41995.799999999996</c:v>
                </c:pt>
                <c:pt idx="1">
                  <c:v>29626.4</c:v>
                </c:pt>
                <c:pt idx="2">
                  <c:v>2423.5</c:v>
                </c:pt>
                <c:pt idx="3">
                  <c:v>515.5</c:v>
                </c:pt>
                <c:pt idx="4">
                  <c:v>47.2</c:v>
                </c:pt>
                <c:pt idx="5">
                  <c:v>9383.199999999993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13705.3</c:v>
                </c:pt>
                <c:pt idx="1">
                  <c:v>9532.200000000003</c:v>
                </c:pt>
                <c:pt idx="2">
                  <c:v>1125.0000000000002</c:v>
                </c:pt>
                <c:pt idx="3">
                  <c:v>46.50000000000001</c:v>
                </c:pt>
                <c:pt idx="4">
                  <c:v>13.6</c:v>
                </c:pt>
                <c:pt idx="5">
                  <c:v>2987.999999999997</c:v>
                </c:pt>
              </c:numCache>
            </c:numRef>
          </c:val>
          <c:shape val="box"/>
        </c:ser>
        <c:shape val="box"/>
        <c:axId val="66855770"/>
        <c:axId val="64831019"/>
      </c:bar3D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1019"/>
        <c:crosses val="autoZero"/>
        <c:auto val="1"/>
        <c:lblOffset val="100"/>
        <c:tickLblSkip val="1"/>
        <c:noMultiLvlLbl val="0"/>
      </c:catAx>
      <c:valAx>
        <c:axId val="64831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7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14207.7</c:v>
                </c:pt>
                <c:pt idx="1">
                  <c:v>8729.1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4379.7</c:v>
                </c:pt>
                <c:pt idx="1">
                  <c:v>2661.2999999999997</c:v>
                </c:pt>
                <c:pt idx="3">
                  <c:v>43.5</c:v>
                </c:pt>
                <c:pt idx="4">
                  <c:v>323.6</c:v>
                </c:pt>
                <c:pt idx="5">
                  <c:v>1351.3000000000002</c:v>
                </c:pt>
              </c:numCache>
            </c:numRef>
          </c:val>
          <c:shape val="box"/>
        </c:ser>
        <c:shape val="box"/>
        <c:axId val="46608260"/>
        <c:axId val="16821157"/>
      </c:bar3D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821157"/>
        <c:crosses val="autoZero"/>
        <c:auto val="1"/>
        <c:lblOffset val="100"/>
        <c:tickLblSkip val="2"/>
        <c:noMultiLvlLbl val="0"/>
      </c:catAx>
      <c:valAx>
        <c:axId val="16821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08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5481</c:v>
                </c:pt>
                <c:pt idx="1">
                  <c:v>1426.1</c:v>
                </c:pt>
                <c:pt idx="2">
                  <c:v>420.8</c:v>
                </c:pt>
                <c:pt idx="3">
                  <c:v>3128.9</c:v>
                </c:pt>
                <c:pt idx="4">
                  <c:v>505.1999999999998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675.5999999999999</c:v>
                </c:pt>
                <c:pt idx="1">
                  <c:v>433.4</c:v>
                </c:pt>
                <c:pt idx="2">
                  <c:v>193</c:v>
                </c:pt>
                <c:pt idx="4">
                  <c:v>49.19999999999993</c:v>
                </c:pt>
              </c:numCache>
            </c:numRef>
          </c:val>
          <c:shape val="box"/>
        </c:ser>
        <c:shape val="box"/>
        <c:axId val="17172686"/>
        <c:axId val="20336447"/>
      </c:bar3D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36447"/>
        <c:crosses val="autoZero"/>
        <c:auto val="1"/>
        <c:lblOffset val="100"/>
        <c:tickLblSkip val="1"/>
        <c:noMultiLvlLbl val="0"/>
      </c:catAx>
      <c:valAx>
        <c:axId val="203364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19129.3</c:v>
                </c:pt>
              </c:numCache>
            </c:numRef>
          </c:val>
          <c:shape val="box"/>
        </c:ser>
        <c:shape val="box"/>
        <c:axId val="48810296"/>
        <c:axId val="36639481"/>
      </c:bar3D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639481"/>
        <c:crosses val="autoZero"/>
        <c:auto val="1"/>
        <c:lblOffset val="100"/>
        <c:tickLblSkip val="1"/>
        <c:noMultiLvlLbl val="0"/>
      </c:catAx>
      <c:valAx>
        <c:axId val="36639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102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337508.6</c:v>
                </c:pt>
                <c:pt idx="1">
                  <c:v>226168.90000000002</c:v>
                </c:pt>
                <c:pt idx="2">
                  <c:v>41995.799999999996</c:v>
                </c:pt>
                <c:pt idx="3">
                  <c:v>14207.7</c:v>
                </c:pt>
                <c:pt idx="4">
                  <c:v>5481</c:v>
                </c:pt>
                <c:pt idx="5">
                  <c:v>48575.5</c:v>
                </c:pt>
                <c:pt idx="6">
                  <c:v>50538.3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105144.70000000001</c:v>
                </c:pt>
                <c:pt idx="1">
                  <c:v>59278.5</c:v>
                </c:pt>
                <c:pt idx="2">
                  <c:v>13705.3</c:v>
                </c:pt>
                <c:pt idx="3">
                  <c:v>4379.7</c:v>
                </c:pt>
                <c:pt idx="4">
                  <c:v>675.5999999999999</c:v>
                </c:pt>
                <c:pt idx="5">
                  <c:v>15029.499999999996</c:v>
                </c:pt>
                <c:pt idx="6">
                  <c:v>19129.3</c:v>
                </c:pt>
              </c:numCache>
            </c:numRef>
          </c:val>
          <c:shape val="box"/>
        </c:ser>
        <c:shape val="box"/>
        <c:axId val="61319874"/>
        <c:axId val="15007955"/>
      </c:bar3D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07955"/>
        <c:crosses val="autoZero"/>
        <c:auto val="1"/>
        <c:lblOffset val="100"/>
        <c:tickLblSkip val="1"/>
        <c:noMultiLvlLbl val="0"/>
      </c:catAx>
      <c:valAx>
        <c:axId val="15007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198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96348.4</c:v>
                </c:pt>
                <c:pt idx="2">
                  <c:v>25686.8</c:v>
                </c:pt>
                <c:pt idx="3">
                  <c:v>14596.9</c:v>
                </c:pt>
                <c:pt idx="4">
                  <c:v>12618.400000000001</c:v>
                </c:pt>
                <c:pt idx="5">
                  <c:v>239596.69999999995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149685.89999999997</c:v>
                </c:pt>
                <c:pt idx="1">
                  <c:v>32210.3</c:v>
                </c:pt>
                <c:pt idx="2">
                  <c:v>7249.7</c:v>
                </c:pt>
                <c:pt idx="3">
                  <c:v>1937.3999999999999</c:v>
                </c:pt>
                <c:pt idx="4">
                  <c:v>2101.2999999999997</c:v>
                </c:pt>
                <c:pt idx="5">
                  <c:v>76466.80000000006</c:v>
                </c:pt>
              </c:numCache>
            </c:numRef>
          </c:val>
          <c:shape val="box"/>
        </c:ser>
        <c:shape val="box"/>
        <c:axId val="853868"/>
        <c:axId val="7684813"/>
      </c:bar3DChart>
      <c:catAx>
        <c:axId val="85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84813"/>
        <c:crosses val="autoZero"/>
        <c:auto val="1"/>
        <c:lblOffset val="100"/>
        <c:tickLblSkip val="1"/>
        <c:noMultiLvlLbl val="0"/>
      </c:catAx>
      <c:valAx>
        <c:axId val="7684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38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8" t="s">
        <v>118</v>
      </c>
      <c r="B1" s="138"/>
      <c r="C1" s="138"/>
      <c r="D1" s="138"/>
      <c r="E1" s="138"/>
      <c r="F1" s="138"/>
      <c r="G1" s="138"/>
      <c r="H1" s="138"/>
      <c r="I1" s="13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2" t="s">
        <v>50</v>
      </c>
      <c r="B3" s="139" t="s">
        <v>115</v>
      </c>
      <c r="C3" s="139" t="s">
        <v>104</v>
      </c>
      <c r="D3" s="139" t="s">
        <v>29</v>
      </c>
      <c r="E3" s="139" t="s">
        <v>28</v>
      </c>
      <c r="F3" s="139" t="s">
        <v>116</v>
      </c>
      <c r="G3" s="139" t="s">
        <v>105</v>
      </c>
      <c r="H3" s="139" t="s">
        <v>117</v>
      </c>
      <c r="I3" s="139" t="s">
        <v>106</v>
      </c>
    </row>
    <row r="4" spans="1:9" ht="24.75" customHeight="1">
      <c r="A4" s="143"/>
      <c r="B4" s="140"/>
      <c r="C4" s="140"/>
      <c r="D4" s="140"/>
      <c r="E4" s="140"/>
      <c r="F4" s="140"/>
      <c r="G4" s="140"/>
      <c r="H4" s="140"/>
      <c r="I4" s="140"/>
    </row>
    <row r="5" spans="1:9" ht="39" customHeight="1" thickBot="1">
      <c r="A5" s="144"/>
      <c r="B5" s="141"/>
      <c r="C5" s="141"/>
      <c r="D5" s="141"/>
      <c r="E5" s="141"/>
      <c r="F5" s="141"/>
      <c r="G5" s="141"/>
      <c r="H5" s="141"/>
      <c r="I5" s="141"/>
    </row>
    <row r="6" spans="1:9" ht="18.75" thickBot="1">
      <c r="A6" s="28" t="s">
        <v>34</v>
      </c>
      <c r="B6" s="52">
        <f>141831.9+2002.1</f>
        <v>143834</v>
      </c>
      <c r="C6" s="53">
        <f>336144.8+1363.8+2002.1</f>
        <v>339510.69999999995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</f>
        <v>109260.3</v>
      </c>
      <c r="E6" s="3">
        <f>D6/D144*100</f>
        <v>36.767912193378635</v>
      </c>
      <c r="F6" s="3">
        <f>D6/B6*100</f>
        <v>75.9627765340601</v>
      </c>
      <c r="G6" s="3">
        <f aca="true" t="shared" si="0" ref="G6:G43">D6/C6*100</f>
        <v>32.18169559898996</v>
      </c>
      <c r="H6" s="3">
        <f>B6-D6</f>
        <v>34573.7</v>
      </c>
      <c r="I6" s="3">
        <f aca="true" t="shared" si="1" ref="I6:I43">C6-D6</f>
        <v>230250.39999999997</v>
      </c>
    </row>
    <row r="7" spans="1:9" s="44" customFormat="1" ht="18.75">
      <c r="A7" s="119" t="s">
        <v>107</v>
      </c>
      <c r="B7" s="110">
        <v>66245.8</v>
      </c>
      <c r="C7" s="107">
        <v>179936.4</v>
      </c>
      <c r="D7" s="120">
        <f>17278.1+34.8+43.3+5046.6+1441.7+293+463.5+4876.3+308.3+631.3+5138.7+0.1+2292.2+271.4+1820.7+4384.3+517.1+3867.2+3165+1+5.9</f>
        <v>51880.499999999985</v>
      </c>
      <c r="E7" s="108">
        <f>D7/D6*100</f>
        <v>47.48339515816814</v>
      </c>
      <c r="F7" s="108">
        <f>D7/B7*100</f>
        <v>78.31515356445237</v>
      </c>
      <c r="G7" s="108">
        <f>D7/C7*100</f>
        <v>28.83268754960085</v>
      </c>
      <c r="H7" s="108">
        <f>B7-D7</f>
        <v>14365.300000000017</v>
      </c>
      <c r="I7" s="108">
        <f t="shared" si="1"/>
        <v>128055.90000000001</v>
      </c>
    </row>
    <row r="8" spans="1:9" ht="18">
      <c r="A8" s="29" t="s">
        <v>3</v>
      </c>
      <c r="B8" s="49">
        <v>104673.5</v>
      </c>
      <c r="C8" s="50">
        <v>251964.7</v>
      </c>
      <c r="D8" s="51">
        <f>2656.8+4544.7+5310.3+304.5+4240.2+2115.7+0.5+13.7+8260.2+9928.8+1441.7+7980.3+10682.7+0.1+0.1+1665.8+5183.3+3109.4+5382+3940+3165+1+0.1+5.9</f>
        <v>79932.8</v>
      </c>
      <c r="E8" s="1">
        <f>D8/D6*100</f>
        <v>73.1581370360506</v>
      </c>
      <c r="F8" s="1">
        <f>D8/B8*100</f>
        <v>76.3639316541436</v>
      </c>
      <c r="G8" s="1">
        <f t="shared" si="0"/>
        <v>31.723808930377945</v>
      </c>
      <c r="H8" s="1">
        <f>B8-D8</f>
        <v>24740.699999999997</v>
      </c>
      <c r="I8" s="1">
        <f t="shared" si="1"/>
        <v>172031.90000000002</v>
      </c>
    </row>
    <row r="9" spans="1:9" ht="18">
      <c r="A9" s="29" t="s">
        <v>2</v>
      </c>
      <c r="B9" s="49">
        <f>25.2-16</f>
        <v>9.2</v>
      </c>
      <c r="C9" s="50">
        <v>45.2</v>
      </c>
      <c r="D9" s="51">
        <f>0.3+0.2+0.7+0.8</f>
        <v>2</v>
      </c>
      <c r="E9" s="12">
        <f>D9/D6*100</f>
        <v>0.0018304910383734987</v>
      </c>
      <c r="F9" s="137">
        <f>D9/B9*100</f>
        <v>21.73913043478261</v>
      </c>
      <c r="G9" s="1">
        <f t="shared" si="0"/>
        <v>4.424778761061947</v>
      </c>
      <c r="H9" s="1">
        <f aca="true" t="shared" si="2" ref="H9:H43">B9-D9</f>
        <v>7.199999999999999</v>
      </c>
      <c r="I9" s="1">
        <f t="shared" si="1"/>
        <v>43.2</v>
      </c>
    </row>
    <row r="10" spans="1:9" ht="18">
      <c r="A10" s="29" t="s">
        <v>1</v>
      </c>
      <c r="B10" s="49">
        <f>9395.7-388</f>
        <v>9007.7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</f>
        <v>6707.099999999999</v>
      </c>
      <c r="E10" s="1">
        <f>D10/D6*100</f>
        <v>6.138643221737446</v>
      </c>
      <c r="F10" s="1">
        <f aca="true" t="shared" si="3" ref="F10:F41">D10/B10*100</f>
        <v>74.45962898409138</v>
      </c>
      <c r="G10" s="1">
        <f t="shared" si="0"/>
        <v>30.335691283424392</v>
      </c>
      <c r="H10" s="1">
        <f t="shared" si="2"/>
        <v>2300.6000000000013</v>
      </c>
      <c r="I10" s="1">
        <f t="shared" si="1"/>
        <v>15402.5</v>
      </c>
    </row>
    <row r="11" spans="1:9" ht="18">
      <c r="A11" s="29" t="s">
        <v>0</v>
      </c>
      <c r="B11" s="49">
        <f>25378.2+611+2001.2</f>
        <v>27990.4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</f>
        <v>21364.8</v>
      </c>
      <c r="E11" s="1">
        <f>D11/D6*100</f>
        <v>19.554037468321063</v>
      </c>
      <c r="F11" s="1">
        <f t="shared" si="3"/>
        <v>76.329027095004</v>
      </c>
      <c r="G11" s="1">
        <f t="shared" si="0"/>
        <v>34.79274792813069</v>
      </c>
      <c r="H11" s="1">
        <f t="shared" si="2"/>
        <v>6625.600000000002</v>
      </c>
      <c r="I11" s="1">
        <f t="shared" si="1"/>
        <v>40041.09999999999</v>
      </c>
    </row>
    <row r="12" spans="1:9" ht="18">
      <c r="A12" s="29" t="s">
        <v>15</v>
      </c>
      <c r="B12" s="49">
        <v>197.6</v>
      </c>
      <c r="C12" s="50">
        <v>286.2</v>
      </c>
      <c r="D12" s="51">
        <f>3.8+3.8+12.7+7.4+5+16.3+3.8</f>
        <v>52.8</v>
      </c>
      <c r="E12" s="1">
        <f>D12/D6*100</f>
        <v>0.04832496341306036</v>
      </c>
      <c r="F12" s="1">
        <f t="shared" si="3"/>
        <v>26.72064777327935</v>
      </c>
      <c r="G12" s="1">
        <f t="shared" si="0"/>
        <v>18.448637316561843</v>
      </c>
      <c r="H12" s="1">
        <f t="shared" si="2"/>
        <v>144.8</v>
      </c>
      <c r="I12" s="1">
        <f t="shared" si="1"/>
        <v>233.39999999999998</v>
      </c>
    </row>
    <row r="13" spans="1:9" ht="18.75" thickBot="1">
      <c r="A13" s="29" t="s">
        <v>35</v>
      </c>
      <c r="B13" s="50">
        <f>B6-B8-B9-B10-B11-B12</f>
        <v>1955.6000000000008</v>
      </c>
      <c r="C13" s="50">
        <f>C6-C8-C9-C10-C11-C12</f>
        <v>3699.099999999952</v>
      </c>
      <c r="D13" s="50">
        <f>D6-D8-D9-D10-D11-D12</f>
        <v>1200.8000000000022</v>
      </c>
      <c r="E13" s="1">
        <f>D13/D6*100</f>
        <v>1.0990268194394506</v>
      </c>
      <c r="F13" s="1">
        <f t="shared" si="3"/>
        <v>61.403149928410805</v>
      </c>
      <c r="G13" s="1">
        <f t="shared" si="0"/>
        <v>32.46195020410418</v>
      </c>
      <c r="H13" s="1">
        <f t="shared" si="2"/>
        <v>754.7999999999986</v>
      </c>
      <c r="I13" s="1">
        <f t="shared" si="1"/>
        <v>2498.29999999995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80886.4+5039.9</f>
        <v>85926.29999999999</v>
      </c>
      <c r="C18" s="53">
        <f>225678.2+490.7+518</f>
        <v>226686.90000000002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</f>
        <v>69091.5</v>
      </c>
      <c r="E18" s="3">
        <f>D18/D144*100</f>
        <v>23.250441425740366</v>
      </c>
      <c r="F18" s="3">
        <f>D18/B18*100</f>
        <v>80.40786115543204</v>
      </c>
      <c r="G18" s="3">
        <f t="shared" si="0"/>
        <v>30.47882343443754</v>
      </c>
      <c r="H18" s="3">
        <f>B18-D18</f>
        <v>16834.79999999999</v>
      </c>
      <c r="I18" s="3">
        <f t="shared" si="1"/>
        <v>157595.40000000002</v>
      </c>
    </row>
    <row r="19" spans="1:9" s="44" customFormat="1" ht="18.75">
      <c r="A19" s="119" t="s">
        <v>108</v>
      </c>
      <c r="B19" s="110">
        <v>77711.5</v>
      </c>
      <c r="C19" s="107">
        <v>186519.2</v>
      </c>
      <c r="D19" s="120">
        <f>20724.4+1058.1+4.5+4107.3+4273.5+909.7+5187.7+0.2+1026+1411.4+1.1+2729.9+0.1+4996.6+194.4+3533.4+1472.3+168.5+4832.7+355.2+3934.8+898.3+346.7+1.4</f>
        <v>62168.2</v>
      </c>
      <c r="E19" s="108">
        <f>D19/D18*100</f>
        <v>89.97951991200075</v>
      </c>
      <c r="F19" s="108">
        <f t="shared" si="3"/>
        <v>79.99871318916763</v>
      </c>
      <c r="G19" s="108">
        <f t="shared" si="0"/>
        <v>33.330724129204924</v>
      </c>
      <c r="H19" s="108">
        <f t="shared" si="2"/>
        <v>15543.300000000003</v>
      </c>
      <c r="I19" s="108">
        <f t="shared" si="1"/>
        <v>124351.00000000001</v>
      </c>
    </row>
    <row r="20" spans="1:9" ht="18">
      <c r="A20" s="29" t="s">
        <v>5</v>
      </c>
      <c r="B20" s="49">
        <f>61827.2+4252.4</f>
        <v>66079.59999999999</v>
      </c>
      <c r="C20" s="50">
        <v>169195.9</v>
      </c>
      <c r="D20" s="51">
        <f>5164.3+574.5+4352.6-225.6+2461.2+632.3+5026.9+4104.6-0.1+3875.3+3989.4+855.4+280+4996.6+192.6+3533.4+437.2+168.1+4832.7+3683.6+898.2+0.2+194.2+4521.6</f>
        <v>54549.19999999998</v>
      </c>
      <c r="E20" s="1">
        <f>D20/D18*100</f>
        <v>78.95211422533883</v>
      </c>
      <c r="F20" s="1">
        <f t="shared" si="3"/>
        <v>82.55074183257767</v>
      </c>
      <c r="G20" s="1">
        <f t="shared" si="0"/>
        <v>32.24026114107965</v>
      </c>
      <c r="H20" s="1">
        <f t="shared" si="2"/>
        <v>11530.400000000009</v>
      </c>
      <c r="I20" s="1">
        <f t="shared" si="1"/>
        <v>114646.70000000001</v>
      </c>
    </row>
    <row r="21" spans="1:9" ht="18">
      <c r="A21" s="29" t="s">
        <v>2</v>
      </c>
      <c r="B21" s="49">
        <v>3749.6</v>
      </c>
      <c r="C21" s="50">
        <v>12491.1</v>
      </c>
      <c r="D21" s="51">
        <f>11+1.8+42.7+3+47.6+40.1+0.7+2.5+101.4-0.1+82.5+53+0.2+1536.8+83.2+0.7+12.8+1.8+77.1+0.2+37.6</f>
        <v>2136.5999999999995</v>
      </c>
      <c r="E21" s="1">
        <f>D21/D18*100</f>
        <v>3.0924209200842356</v>
      </c>
      <c r="F21" s="1">
        <f t="shared" si="3"/>
        <v>56.982078088329416</v>
      </c>
      <c r="G21" s="1">
        <f t="shared" si="0"/>
        <v>17.10497874486634</v>
      </c>
      <c r="H21" s="1">
        <f t="shared" si="2"/>
        <v>1613.0000000000005</v>
      </c>
      <c r="I21" s="1">
        <f t="shared" si="1"/>
        <v>10354.5</v>
      </c>
    </row>
    <row r="22" spans="1:9" ht="18">
      <c r="A22" s="29" t="s">
        <v>1</v>
      </c>
      <c r="B22" s="49">
        <v>1318.8</v>
      </c>
      <c r="C22" s="50">
        <v>3253.3</v>
      </c>
      <c r="D22" s="51">
        <f>173.9+19+7.6+19.5+89.8+0.1+92.4+48.6+202.1+56.1+96.9</f>
        <v>806.0000000000001</v>
      </c>
      <c r="E22" s="1">
        <f>D22/D18*100</f>
        <v>1.1665689701338082</v>
      </c>
      <c r="F22" s="1">
        <f t="shared" si="3"/>
        <v>61.11616621170762</v>
      </c>
      <c r="G22" s="1">
        <f t="shared" si="0"/>
        <v>24.77484400454923</v>
      </c>
      <c r="H22" s="1">
        <f t="shared" si="2"/>
        <v>512.7999999999998</v>
      </c>
      <c r="I22" s="1">
        <f t="shared" si="1"/>
        <v>2447.3</v>
      </c>
    </row>
    <row r="23" spans="1:9" ht="18">
      <c r="A23" s="29" t="s">
        <v>0</v>
      </c>
      <c r="B23" s="49">
        <f>8307.1+518</f>
        <v>8825.1</v>
      </c>
      <c r="C23" s="50">
        <f>24676.2+518</f>
        <v>25194.2</v>
      </c>
      <c r="D23" s="51">
        <f>96.9+173.9+611.9+463.4+109.9+698.9+114.7+0.2+702.4+1027.2+819.6+1945.5+240.6+329.9+0.1+104.4</f>
        <v>7439.5</v>
      </c>
      <c r="E23" s="1">
        <f>D23/D18*100</f>
        <v>10.76760527706013</v>
      </c>
      <c r="F23" s="1">
        <f t="shared" si="3"/>
        <v>84.2993280529399</v>
      </c>
      <c r="G23" s="1">
        <f t="shared" si="0"/>
        <v>29.528621666891585</v>
      </c>
      <c r="H23" s="1">
        <f t="shared" si="2"/>
        <v>1385.6000000000004</v>
      </c>
      <c r="I23" s="1">
        <f t="shared" si="1"/>
        <v>17754.7</v>
      </c>
    </row>
    <row r="24" spans="1:9" ht="18">
      <c r="A24" s="29" t="s">
        <v>15</v>
      </c>
      <c r="B24" s="49">
        <v>583.1</v>
      </c>
      <c r="C24" s="50">
        <v>1528.1</v>
      </c>
      <c r="D24" s="51">
        <f>111+58.1+166.1+55.7+24.9+10.1-0.1</f>
        <v>425.79999999999995</v>
      </c>
      <c r="E24" s="1">
        <f>D24/D18*100</f>
        <v>0.6162842028324758</v>
      </c>
      <c r="F24" s="1">
        <f t="shared" si="3"/>
        <v>73.02349511233064</v>
      </c>
      <c r="G24" s="1">
        <f t="shared" si="0"/>
        <v>27.86466854263464</v>
      </c>
      <c r="H24" s="1">
        <f t="shared" si="2"/>
        <v>157.30000000000007</v>
      </c>
      <c r="I24" s="1">
        <f t="shared" si="1"/>
        <v>1102.3</v>
      </c>
    </row>
    <row r="25" spans="1:9" ht="18.75" thickBot="1">
      <c r="A25" s="29" t="s">
        <v>35</v>
      </c>
      <c r="B25" s="50">
        <f>B18-B20-B21-B22-B23-B24</f>
        <v>5370.099999999997</v>
      </c>
      <c r="C25" s="50">
        <f>C18-C20-C21-C22-C23-C24</f>
        <v>15024.300000000027</v>
      </c>
      <c r="D25" s="50">
        <f>D18-D20-D21-D22-D23-D24</f>
        <v>3734.4000000000187</v>
      </c>
      <c r="E25" s="1">
        <f>D25/D18*100</f>
        <v>5.405006404550514</v>
      </c>
      <c r="F25" s="1">
        <f t="shared" si="3"/>
        <v>69.54060445801792</v>
      </c>
      <c r="G25" s="1">
        <f t="shared" si="0"/>
        <v>24.855733711387636</v>
      </c>
      <c r="H25" s="1">
        <f t="shared" si="2"/>
        <v>1635.699999999978</v>
      </c>
      <c r="I25" s="1">
        <f t="shared" si="1"/>
        <v>11289.900000000009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18004.2-7.3+250.5</f>
        <v>18247.4</v>
      </c>
      <c r="C33" s="53">
        <f>41831.7+164.1+250.5</f>
        <v>42246.299999999996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</f>
        <v>14251.999999999998</v>
      </c>
      <c r="E33" s="3">
        <f>D33/D144*100</f>
        <v>4.79603556442763</v>
      </c>
      <c r="F33" s="3">
        <f>D33/B33*100</f>
        <v>78.10427786972389</v>
      </c>
      <c r="G33" s="3">
        <f t="shared" si="0"/>
        <v>33.7354987300663</v>
      </c>
      <c r="H33" s="3">
        <f t="shared" si="2"/>
        <v>3995.4000000000033</v>
      </c>
      <c r="I33" s="3">
        <f t="shared" si="1"/>
        <v>27994.299999999996</v>
      </c>
    </row>
    <row r="34" spans="1:9" ht="18">
      <c r="A34" s="29" t="s">
        <v>3</v>
      </c>
      <c r="B34" s="49">
        <v>12129.5</v>
      </c>
      <c r="C34" s="50">
        <v>29626.4</v>
      </c>
      <c r="D34" s="51">
        <f>1216.2+1064.6-0.1+1185.2+1240.8+0.1+1202.8+1206.8+1191.1+1224.7+5.8</f>
        <v>9538.000000000002</v>
      </c>
      <c r="E34" s="1">
        <f>D34/D33*100</f>
        <v>66.92394049957903</v>
      </c>
      <c r="F34" s="1">
        <f t="shared" si="3"/>
        <v>78.63473350096872</v>
      </c>
      <c r="G34" s="1">
        <f t="shared" si="0"/>
        <v>32.19425917424999</v>
      </c>
      <c r="H34" s="1">
        <f t="shared" si="2"/>
        <v>2591.499999999998</v>
      </c>
      <c r="I34" s="1">
        <f t="shared" si="1"/>
        <v>20088.4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f>1390.7+250.5</f>
        <v>1641.2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</f>
        <v>1148.1000000000004</v>
      </c>
      <c r="E36" s="1">
        <f>D36/D33*100</f>
        <v>8.055711479090657</v>
      </c>
      <c r="F36" s="1">
        <f t="shared" si="3"/>
        <v>69.95491104070194</v>
      </c>
      <c r="G36" s="1">
        <f t="shared" si="0"/>
        <v>42.935676888556486</v>
      </c>
      <c r="H36" s="1">
        <f t="shared" si="2"/>
        <v>493.0999999999997</v>
      </c>
      <c r="I36" s="1">
        <f t="shared" si="1"/>
        <v>1525.8999999999996</v>
      </c>
    </row>
    <row r="37" spans="1:9" s="44" customFormat="1" ht="18.75">
      <c r="A37" s="23" t="s">
        <v>7</v>
      </c>
      <c r="B37" s="58">
        <v>226.5</v>
      </c>
      <c r="C37" s="59">
        <f>493.5+22</f>
        <v>515.5</v>
      </c>
      <c r="D37" s="60">
        <f>19+12.3+0.1+11.9+3.2+10.7+22.4</f>
        <v>79.6</v>
      </c>
      <c r="E37" s="19">
        <f>D37/D33*100</f>
        <v>0.558518102722425</v>
      </c>
      <c r="F37" s="19">
        <f t="shared" si="3"/>
        <v>35.143487858719645</v>
      </c>
      <c r="G37" s="19">
        <f t="shared" si="0"/>
        <v>15.441319107662462</v>
      </c>
      <c r="H37" s="19">
        <f t="shared" si="2"/>
        <v>146.9</v>
      </c>
      <c r="I37" s="19">
        <f t="shared" si="1"/>
        <v>435.9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</f>
        <v>13.6</v>
      </c>
      <c r="E38" s="1">
        <f>D38/D33*100</f>
        <v>0.09542520348021331</v>
      </c>
      <c r="F38" s="1">
        <f t="shared" si="3"/>
        <v>36.75675675675675</v>
      </c>
      <c r="G38" s="1">
        <f t="shared" si="0"/>
        <v>28.813559322033893</v>
      </c>
      <c r="H38" s="1">
        <f t="shared" si="2"/>
        <v>23.4</v>
      </c>
      <c r="I38" s="1">
        <f t="shared" si="1"/>
        <v>33.6</v>
      </c>
    </row>
    <row r="39" spans="1:9" ht="18.75" thickBot="1">
      <c r="A39" s="29" t="s">
        <v>35</v>
      </c>
      <c r="B39" s="49">
        <f>B33-B34-B36-B37-B35-B38</f>
        <v>4213.200000000002</v>
      </c>
      <c r="C39" s="49">
        <f>C33-C34-C36-C37-C35-C38</f>
        <v>9383.199999999993</v>
      </c>
      <c r="D39" s="49">
        <f>D33-D34-D36-D37-D35-D38</f>
        <v>3472.699999999996</v>
      </c>
      <c r="E39" s="1">
        <f>D39/D33*100</f>
        <v>24.366404715127675</v>
      </c>
      <c r="F39" s="1">
        <f t="shared" si="3"/>
        <v>82.42428557865743</v>
      </c>
      <c r="G39" s="1">
        <f t="shared" si="0"/>
        <v>37.00976212805864</v>
      </c>
      <c r="H39" s="1">
        <f>B39-D39</f>
        <v>740.5000000000055</v>
      </c>
      <c r="I39" s="1">
        <f t="shared" si="1"/>
        <v>5910.499999999997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349.4+15</f>
        <v>364.4</v>
      </c>
      <c r="C43" s="53">
        <f>768.4+32.5+15</f>
        <v>815.9</v>
      </c>
      <c r="D43" s="54">
        <f>17.7+12.2+11.2+51.1+0.8+30+0.1+18.9+27.3+43.7+9+5.4</f>
        <v>227.4</v>
      </c>
      <c r="E43" s="3">
        <f>D43/D144*100</f>
        <v>0.0765238904961299</v>
      </c>
      <c r="F43" s="3">
        <f>D43/B43*100</f>
        <v>62.403951701427005</v>
      </c>
      <c r="G43" s="3">
        <f t="shared" si="0"/>
        <v>27.87106263022429</v>
      </c>
      <c r="H43" s="3">
        <f t="shared" si="2"/>
        <v>136.99999999999997</v>
      </c>
      <c r="I43" s="3">
        <f t="shared" si="1"/>
        <v>588.5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v>2803.7</v>
      </c>
      <c r="C45" s="53">
        <f>6659.3+87.1</f>
        <v>6746.400000000001</v>
      </c>
      <c r="D45" s="54">
        <f>193+223+8.7+101.1+200.9+9+241+299.2+7.6+43.6+283.1+0.8+48.7+276.1+3.4+2.2+253.5+5</f>
        <v>2199.8999999999996</v>
      </c>
      <c r="E45" s="3">
        <f>D45/D144*100</f>
        <v>0.7403030197996312</v>
      </c>
      <c r="F45" s="3">
        <f>D45/B45*100</f>
        <v>78.46417234368869</v>
      </c>
      <c r="G45" s="3">
        <f aca="true" t="shared" si="4" ref="G45:G75">D45/C45*100</f>
        <v>32.60850231234435</v>
      </c>
      <c r="H45" s="3">
        <f>B45-D45</f>
        <v>603.8000000000002</v>
      </c>
      <c r="I45" s="3">
        <f aca="true" t="shared" si="5" ref="I45:I76">C45-D45</f>
        <v>4546.500000000001</v>
      </c>
    </row>
    <row r="46" spans="1:9" ht="18">
      <c r="A46" s="29" t="s">
        <v>3</v>
      </c>
      <c r="B46" s="49">
        <v>2273.5</v>
      </c>
      <c r="C46" s="50">
        <v>5755.9</v>
      </c>
      <c r="D46" s="51">
        <f>193+222.7+1.6+196.4+240.9+0.1+199.7+265.9+214+253.1</f>
        <v>1787.4</v>
      </c>
      <c r="E46" s="1">
        <f>D46/D45*100</f>
        <v>81.24914768853131</v>
      </c>
      <c r="F46" s="1">
        <f aca="true" t="shared" si="6" ref="F46:F73">D46/B46*100</f>
        <v>78.61886958434134</v>
      </c>
      <c r="G46" s="1">
        <f t="shared" si="4"/>
        <v>31.053353949860146</v>
      </c>
      <c r="H46" s="1">
        <f aca="true" t="shared" si="7" ref="H46:H73">B46-D46</f>
        <v>486.0999999999999</v>
      </c>
      <c r="I46" s="1">
        <f t="shared" si="5"/>
        <v>3968.4999999999995</v>
      </c>
    </row>
    <row r="47" spans="1:9" ht="18">
      <c r="A47" s="29" t="s">
        <v>2</v>
      </c>
      <c r="B47" s="49">
        <v>0.3</v>
      </c>
      <c r="C47" s="50">
        <v>1.2</v>
      </c>
      <c r="D47" s="51">
        <f>0.3</f>
        <v>0.3</v>
      </c>
      <c r="E47" s="1">
        <f>D47/D45*100</f>
        <v>0.013636983499249968</v>
      </c>
      <c r="F47" s="1">
        <f t="shared" si="6"/>
        <v>100</v>
      </c>
      <c r="G47" s="1">
        <f t="shared" si="4"/>
        <v>25</v>
      </c>
      <c r="H47" s="1">
        <f t="shared" si="7"/>
        <v>0</v>
      </c>
      <c r="I47" s="1">
        <f t="shared" si="5"/>
        <v>0.8999999999999999</v>
      </c>
    </row>
    <row r="48" spans="1:9" ht="18">
      <c r="A48" s="29" t="s">
        <v>1</v>
      </c>
      <c r="B48" s="49">
        <v>25.2</v>
      </c>
      <c r="C48" s="50">
        <v>60.2</v>
      </c>
      <c r="D48" s="51">
        <f>3.8+1+5.7-0.1+1.3+4.1-0.1</f>
        <v>15.700000000000001</v>
      </c>
      <c r="E48" s="1">
        <f>D48/D45*100</f>
        <v>0.713668803127415</v>
      </c>
      <c r="F48" s="1">
        <f t="shared" si="6"/>
        <v>62.301587301587304</v>
      </c>
      <c r="G48" s="1">
        <f t="shared" si="4"/>
        <v>26.079734219269103</v>
      </c>
      <c r="H48" s="1">
        <f t="shared" si="7"/>
        <v>9.499999999999998</v>
      </c>
      <c r="I48" s="1">
        <f t="shared" si="5"/>
        <v>44.5</v>
      </c>
    </row>
    <row r="49" spans="1:9" ht="18">
      <c r="A49" s="29" t="s">
        <v>0</v>
      </c>
      <c r="B49" s="49">
        <v>314.6</v>
      </c>
      <c r="C49" s="50">
        <v>538.3</v>
      </c>
      <c r="D49" s="51">
        <f>4.7+90.3+4.8+67.1+3.1+1.1+45.6+36.3+2.7+2+0.1</f>
        <v>257.79999999999995</v>
      </c>
      <c r="E49" s="1">
        <f>D49/D45*100</f>
        <v>11.718714487022137</v>
      </c>
      <c r="F49" s="1">
        <f t="shared" si="6"/>
        <v>81.94532739987284</v>
      </c>
      <c r="G49" s="1">
        <f t="shared" si="4"/>
        <v>47.89151031023592</v>
      </c>
      <c r="H49" s="1">
        <f t="shared" si="7"/>
        <v>56.80000000000007</v>
      </c>
      <c r="I49" s="1">
        <f t="shared" si="5"/>
        <v>280.5</v>
      </c>
    </row>
    <row r="50" spans="1:9" ht="18.75" thickBot="1">
      <c r="A50" s="29" t="s">
        <v>35</v>
      </c>
      <c r="B50" s="50">
        <f>B45-B46-B49-B48-B47</f>
        <v>190.0999999999998</v>
      </c>
      <c r="C50" s="50">
        <f>C45-C46-C49-C48-C47</f>
        <v>390.800000000001</v>
      </c>
      <c r="D50" s="50">
        <f>D45-D46-D49-D48-D47</f>
        <v>138.6999999999996</v>
      </c>
      <c r="E50" s="1">
        <f>D50/D45*100</f>
        <v>6.304832037819883</v>
      </c>
      <c r="F50" s="1">
        <f t="shared" si="6"/>
        <v>72.96159915833758</v>
      </c>
      <c r="G50" s="1">
        <f t="shared" si="4"/>
        <v>35.49129989764566</v>
      </c>
      <c r="H50" s="1">
        <f t="shared" si="7"/>
        <v>51.400000000000205</v>
      </c>
      <c r="I50" s="1">
        <f t="shared" si="5"/>
        <v>252.1000000000014</v>
      </c>
    </row>
    <row r="51" spans="1:9" ht="18.75" thickBot="1">
      <c r="A51" s="28" t="s">
        <v>4</v>
      </c>
      <c r="B51" s="52">
        <v>6407.9</v>
      </c>
      <c r="C51" s="53">
        <f>13881+326.7</f>
        <v>14207.7</v>
      </c>
      <c r="D51" s="54">
        <f>260.4+84.2+35.2+27.7+429.5+47.7+9.2+7.6+47.3+0.3+0.2+338.5+6.8+0.3+85+62.8+1.5+472.7+38.5+0.1+49.4+117.6+311.3+37+71.4+15+489.6+106.2+9.7+10.3+4.5+1.3+36.2+1.3+0.1+7.8+422+397.2+336.3+9+7.3</f>
        <v>4396</v>
      </c>
      <c r="E51" s="3">
        <f>D51/D144*100</f>
        <v>1.4793272762576386</v>
      </c>
      <c r="F51" s="3">
        <f>D51/B51*100</f>
        <v>68.60281839604238</v>
      </c>
      <c r="G51" s="3">
        <f t="shared" si="4"/>
        <v>30.940968629686715</v>
      </c>
      <c r="H51" s="3">
        <f>B51-D51</f>
        <v>2011.8999999999996</v>
      </c>
      <c r="I51" s="3">
        <f t="shared" si="5"/>
        <v>9811.7</v>
      </c>
    </row>
    <row r="52" spans="1:9" ht="18">
      <c r="A52" s="29" t="s">
        <v>3</v>
      </c>
      <c r="B52" s="49">
        <v>3596.2</v>
      </c>
      <c r="C52" s="50">
        <v>8729.1</v>
      </c>
      <c r="D52" s="51">
        <f>260.4+390.2+0.1+271.7+395.7-0.1+282.9+391.4+0.1+7.8+263.9+397.2</f>
        <v>2661.2999999999997</v>
      </c>
      <c r="E52" s="1">
        <f>D52/D51*100</f>
        <v>60.53912647861692</v>
      </c>
      <c r="F52" s="1">
        <f t="shared" si="6"/>
        <v>74.00311439853178</v>
      </c>
      <c r="G52" s="1">
        <f t="shared" si="4"/>
        <v>30.4876791421796</v>
      </c>
      <c r="H52" s="1">
        <f t="shared" si="7"/>
        <v>934.9000000000001</v>
      </c>
      <c r="I52" s="1">
        <f t="shared" si="5"/>
        <v>6067.800000000001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v>114.7</v>
      </c>
      <c r="C54" s="50">
        <f>189.7+74</f>
        <v>263.7</v>
      </c>
      <c r="D54" s="51">
        <f>1.7+1.5+4.6+9.7+8-0.1+0.1+5.9+12.1+0.1</f>
        <v>43.6</v>
      </c>
      <c r="E54" s="1">
        <f>D54/D51*100</f>
        <v>0.991810737033667</v>
      </c>
      <c r="F54" s="1">
        <f t="shared" si="6"/>
        <v>38.012205754141235</v>
      </c>
      <c r="G54" s="1">
        <f t="shared" si="4"/>
        <v>16.53394008342814</v>
      </c>
      <c r="H54" s="1">
        <f t="shared" si="7"/>
        <v>71.1</v>
      </c>
      <c r="I54" s="1">
        <f t="shared" si="5"/>
        <v>220.1</v>
      </c>
    </row>
    <row r="55" spans="1:9" ht="18">
      <c r="A55" s="29" t="s">
        <v>0</v>
      </c>
      <c r="B55" s="49">
        <v>390.5</v>
      </c>
      <c r="C55" s="50">
        <f>709.9+0.6</f>
        <v>710.5</v>
      </c>
      <c r="D55" s="51">
        <f>1.1+7.6+5.9+0.3+0.2+6.8+0.3+67.1+16.4-0.1+19.5+19.3+76.2+4.5+12.1+86.4+1+0.1+7.3</f>
        <v>332.00000000000006</v>
      </c>
      <c r="E55" s="1">
        <f>D55/D51*100</f>
        <v>7.552320291173796</v>
      </c>
      <c r="F55" s="1">
        <f t="shared" si="6"/>
        <v>85.01920614596672</v>
      </c>
      <c r="G55" s="1">
        <f t="shared" si="4"/>
        <v>46.72765657987334</v>
      </c>
      <c r="H55" s="1">
        <f t="shared" si="7"/>
        <v>58.49999999999994</v>
      </c>
      <c r="I55" s="1">
        <f t="shared" si="5"/>
        <v>378.49999999999994</v>
      </c>
    </row>
    <row r="56" spans="1:9" ht="18.75" thickBot="1">
      <c r="A56" s="29" t="s">
        <v>35</v>
      </c>
      <c r="B56" s="50">
        <f>B51-B52-B55-B54-B53</f>
        <v>2306.5</v>
      </c>
      <c r="C56" s="50">
        <f>C51-C52-C55-C54-C53</f>
        <v>4493.500000000001</v>
      </c>
      <c r="D56" s="50">
        <f>D51-D52-D55-D54-D53</f>
        <v>1359.1000000000004</v>
      </c>
      <c r="E56" s="1">
        <f>D56/D51*100</f>
        <v>30.916742493175626</v>
      </c>
      <c r="F56" s="1">
        <f t="shared" si="6"/>
        <v>58.924777801864316</v>
      </c>
      <c r="G56" s="1">
        <f t="shared" si="4"/>
        <v>30.24591075998665</v>
      </c>
      <c r="H56" s="1">
        <f t="shared" si="7"/>
        <v>947.3999999999996</v>
      </c>
      <c r="I56" s="1">
        <f>C56-D56</f>
        <v>3134.4000000000005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2361.6+44</f>
        <v>2405.6</v>
      </c>
      <c r="C58" s="53">
        <f>3033.3+2447.7+44</f>
        <v>5525</v>
      </c>
      <c r="D58" s="54">
        <f>36.1+65.6+6.5+0.4+1.3+60.3+3+39.2+0.1+14.1+69.1+5.2-0.1+1.8+81+43+6.1+66+42.4+63.1+71.4</f>
        <v>675.5999999999999</v>
      </c>
      <c r="E58" s="3">
        <f>D58/D144*100</f>
        <v>0.2273506614739901</v>
      </c>
      <c r="F58" s="3">
        <f>D58/B58*100</f>
        <v>28.084469571000998</v>
      </c>
      <c r="G58" s="3">
        <f t="shared" si="4"/>
        <v>12.228054298642533</v>
      </c>
      <c r="H58" s="3">
        <f>B58-D58</f>
        <v>1730</v>
      </c>
      <c r="I58" s="3">
        <f t="shared" si="5"/>
        <v>4849.4</v>
      </c>
    </row>
    <row r="59" spans="1:9" ht="18">
      <c r="A59" s="29" t="s">
        <v>3</v>
      </c>
      <c r="B59" s="49">
        <v>573.8</v>
      </c>
      <c r="C59" s="50">
        <v>1426.1</v>
      </c>
      <c r="D59" s="51">
        <f>36.1+65.6+39.2+69.1+1.8+43+66+41.2+71.4</f>
        <v>433.4</v>
      </c>
      <c r="E59" s="1">
        <f>D59/D58*100</f>
        <v>64.15038484310244</v>
      </c>
      <c r="F59" s="1">
        <f t="shared" si="6"/>
        <v>75.53154409201812</v>
      </c>
      <c r="G59" s="1">
        <f t="shared" si="4"/>
        <v>30.390575695954002</v>
      </c>
      <c r="H59" s="1">
        <f t="shared" si="7"/>
        <v>140.39999999999998</v>
      </c>
      <c r="I59" s="1">
        <f t="shared" si="5"/>
        <v>992.6999999999999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f>237+44</f>
        <v>281</v>
      </c>
      <c r="C61" s="50">
        <f>420.8+44</f>
        <v>464.8</v>
      </c>
      <c r="D61" s="51">
        <f>1.3+56.1+4.9+63.5+3.5+0.7+63-0.1</f>
        <v>192.9</v>
      </c>
      <c r="E61" s="1">
        <f>D61/D58*100</f>
        <v>28.552397868561286</v>
      </c>
      <c r="F61" s="1">
        <f t="shared" si="6"/>
        <v>68.64768683274022</v>
      </c>
      <c r="G61" s="1">
        <f t="shared" si="4"/>
        <v>41.501721170395875</v>
      </c>
      <c r="H61" s="1">
        <f t="shared" si="7"/>
        <v>88.1</v>
      </c>
      <c r="I61" s="1">
        <f t="shared" si="5"/>
        <v>271.9</v>
      </c>
    </row>
    <row r="62" spans="1:9" ht="18">
      <c r="A62" s="29" t="s">
        <v>15</v>
      </c>
      <c r="B62" s="49">
        <v>1400</v>
      </c>
      <c r="C62" s="50">
        <f>728.9+2400</f>
        <v>3128.9</v>
      </c>
      <c r="D62" s="51"/>
      <c r="E62" s="1">
        <f>D62/D58*100</f>
        <v>0</v>
      </c>
      <c r="F62" s="117">
        <f t="shared" si="6"/>
        <v>0</v>
      </c>
      <c r="G62" s="1">
        <f t="shared" si="4"/>
        <v>0</v>
      </c>
      <c r="H62" s="1">
        <f t="shared" si="7"/>
        <v>1400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150.79999999999995</v>
      </c>
      <c r="C63" s="50">
        <f>C58-C59-C61-C62-C60</f>
        <v>505.19999999999936</v>
      </c>
      <c r="D63" s="50">
        <f>D58-D59-D61-D62-D60</f>
        <v>49.299999999999926</v>
      </c>
      <c r="E63" s="1">
        <f>D63/D58*100</f>
        <v>7.2972172883362845</v>
      </c>
      <c r="F63" s="1">
        <f t="shared" si="6"/>
        <v>32.69230769230765</v>
      </c>
      <c r="G63" s="1">
        <f t="shared" si="4"/>
        <v>9.75851148060174</v>
      </c>
      <c r="H63" s="1">
        <f t="shared" si="7"/>
        <v>101.50000000000003</v>
      </c>
      <c r="I63" s="1">
        <f t="shared" si="5"/>
        <v>455.8999999999994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253.7</v>
      </c>
      <c r="C68" s="53">
        <f>C69+C70</f>
        <v>450.20000000000005</v>
      </c>
      <c r="D68" s="54">
        <f>SUM(D69:D70)</f>
        <v>193.89999999999998</v>
      </c>
      <c r="E68" s="42">
        <f>D68/D144*100</f>
        <v>0.06525058208970794</v>
      </c>
      <c r="F68" s="112">
        <f>D68/B68*100</f>
        <v>76.42885297595585</v>
      </c>
      <c r="G68" s="3">
        <f t="shared" si="4"/>
        <v>43.06974677920923</v>
      </c>
      <c r="H68" s="3">
        <f>B68-D68</f>
        <v>59.80000000000001</v>
      </c>
      <c r="I68" s="3">
        <f t="shared" si="5"/>
        <v>256.30000000000007</v>
      </c>
    </row>
    <row r="69" spans="1:9" ht="18">
      <c r="A69" s="29" t="s">
        <v>8</v>
      </c>
      <c r="B69" s="49">
        <v>221.5</v>
      </c>
      <c r="C69" s="50">
        <v>250.3</v>
      </c>
      <c r="D69" s="51">
        <f>0.2+12.6+73.3+85.8+22</f>
        <v>193.89999999999998</v>
      </c>
      <c r="E69" s="1">
        <f>D69/D68*100</f>
        <v>100</v>
      </c>
      <c r="F69" s="1">
        <f t="shared" si="6"/>
        <v>87.5395033860045</v>
      </c>
      <c r="G69" s="1">
        <f t="shared" si="4"/>
        <v>77.46703955253695</v>
      </c>
      <c r="H69" s="1">
        <f t="shared" si="7"/>
        <v>27.600000000000023</v>
      </c>
      <c r="I69" s="1">
        <f t="shared" si="5"/>
        <v>56.400000000000034</v>
      </c>
    </row>
    <row r="70" spans="1:9" ht="18.75" thickBot="1">
      <c r="A70" s="29" t="s">
        <v>9</v>
      </c>
      <c r="B70" s="49">
        <f>75.1-42.9</f>
        <v>32.199999999999996</v>
      </c>
      <c r="C70" s="50">
        <f>242.8-42.9</f>
        <v>199.9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32.199999999999996</v>
      </c>
      <c r="I70" s="1">
        <f t="shared" si="5"/>
        <v>199.9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2219.9-2219.9</f>
        <v>0</v>
      </c>
      <c r="C76" s="69">
        <f>10000-6127.8-2982.3</f>
        <v>889.8999999999996</v>
      </c>
      <c r="D76" s="70"/>
      <c r="E76" s="48"/>
      <c r="F76" s="48"/>
      <c r="G76" s="48"/>
      <c r="H76" s="48">
        <f>B76-D76</f>
        <v>0</v>
      </c>
      <c r="I76" s="48">
        <f t="shared" si="5"/>
        <v>889.8999999999996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20891.5+2.3</f>
        <v>20893.8</v>
      </c>
      <c r="C89" s="53">
        <f>47925.9+539.6+110+168.6</f>
        <v>48744.1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</f>
        <v>15609.099999999997</v>
      </c>
      <c r="E89" s="3">
        <f>D89/D144*100</f>
        <v>5.252722335721815</v>
      </c>
      <c r="F89" s="3">
        <f aca="true" t="shared" si="10" ref="F89:F95">D89/B89*100</f>
        <v>74.7068508361332</v>
      </c>
      <c r="G89" s="3">
        <f t="shared" si="8"/>
        <v>32.02254221536555</v>
      </c>
      <c r="H89" s="3">
        <f aca="true" t="shared" si="11" ref="H89:H95">B89-D89</f>
        <v>5284.700000000003</v>
      </c>
      <c r="I89" s="3">
        <f t="shared" si="9"/>
        <v>33135</v>
      </c>
    </row>
    <row r="90" spans="1:9" ht="18">
      <c r="A90" s="29" t="s">
        <v>3</v>
      </c>
      <c r="B90" s="49">
        <v>16637.5</v>
      </c>
      <c r="C90" s="50">
        <v>39638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</f>
        <v>13370.000000000002</v>
      </c>
      <c r="E90" s="1">
        <f>D90/D89*100</f>
        <v>85.655162693557</v>
      </c>
      <c r="F90" s="1">
        <f t="shared" si="10"/>
        <v>80.36063110443277</v>
      </c>
      <c r="G90" s="1">
        <f t="shared" si="8"/>
        <v>33.730258842524854</v>
      </c>
      <c r="H90" s="1">
        <f t="shared" si="11"/>
        <v>3267.499999999998</v>
      </c>
      <c r="I90" s="1">
        <f t="shared" si="9"/>
        <v>26268</v>
      </c>
    </row>
    <row r="91" spans="1:9" ht="18">
      <c r="A91" s="29" t="s">
        <v>33</v>
      </c>
      <c r="B91" s="49">
        <f>1259.4+2.3</f>
        <v>1261.7</v>
      </c>
      <c r="C91" s="50">
        <f>2406.5+168.6</f>
        <v>2575.1</v>
      </c>
      <c r="D91" s="51">
        <f>15.4+0.6+1.6+3.7+2.5+4.3+0.4+4.2+0.8+56.6+102.4+16.1+0.1+47.1+38.8+64+59.3+87.7+34.7+0.6+1.8+42.3</f>
        <v>584.9999999999999</v>
      </c>
      <c r="E91" s="1">
        <f>D91/D89*100</f>
        <v>3.747813775297743</v>
      </c>
      <c r="F91" s="1">
        <f t="shared" si="10"/>
        <v>46.36601410794958</v>
      </c>
      <c r="G91" s="1">
        <f t="shared" si="8"/>
        <v>22.71756436643237</v>
      </c>
      <c r="H91" s="1">
        <f t="shared" si="11"/>
        <v>676.7000000000002</v>
      </c>
      <c r="I91" s="1">
        <f t="shared" si="9"/>
        <v>1990.1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35</v>
      </c>
      <c r="B93" s="50">
        <f>B89-B90-B91-B92</f>
        <v>2994.5999999999995</v>
      </c>
      <c r="C93" s="50">
        <f>C89-C90-C91-C92</f>
        <v>6530.999999999998</v>
      </c>
      <c r="D93" s="50">
        <f>D89-D90-D91-D92</f>
        <v>1654.099999999995</v>
      </c>
      <c r="E93" s="1">
        <f>D93/D89*100</f>
        <v>10.597023531145263</v>
      </c>
      <c r="F93" s="1">
        <f t="shared" si="10"/>
        <v>55.23609163160339</v>
      </c>
      <c r="G93" s="1">
        <f>D93/C93*100</f>
        <v>25.32690246516606</v>
      </c>
      <c r="H93" s="1">
        <f t="shared" si="11"/>
        <v>1340.5000000000045</v>
      </c>
      <c r="I93" s="1">
        <f>C93-D93</f>
        <v>4876.900000000003</v>
      </c>
    </row>
    <row r="94" spans="1:9" ht="18.75">
      <c r="A94" s="123" t="s">
        <v>12</v>
      </c>
      <c r="B94" s="128">
        <v>23665.6</v>
      </c>
      <c r="C94" s="130">
        <f>48638.3+1900-424</f>
        <v>50114.3</v>
      </c>
      <c r="D94" s="129">
        <f>3479.6+8.1+4.1+53.2+1101.8+1997.1+228.6+3048.1+0.1+314.6+1021.4+1907+2.5+299.7+94.1+2183.5+8+2623.6+342.3+2.2+8.5+1.3+1.6+10.6+34.2+57.7+70.3+17.2+208.3+74.7+207.6+2728.6+200.9+23.9</f>
        <v>22365</v>
      </c>
      <c r="E94" s="122">
        <f>D94/D144*100</f>
        <v>7.526195298794834</v>
      </c>
      <c r="F94" s="126">
        <f t="shared" si="10"/>
        <v>94.50425934690014</v>
      </c>
      <c r="G94" s="121">
        <f>D94/C94*100</f>
        <v>44.62798043672166</v>
      </c>
      <c r="H94" s="127">
        <f t="shared" si="11"/>
        <v>1300.5999999999985</v>
      </c>
      <c r="I94" s="122">
        <f>C94-D94</f>
        <v>27749.300000000003</v>
      </c>
    </row>
    <row r="95" spans="1:9" ht="18.75" thickBot="1">
      <c r="A95" s="124" t="s">
        <v>110</v>
      </c>
      <c r="B95" s="131">
        <v>1956</v>
      </c>
      <c r="C95" s="132">
        <v>4853.7</v>
      </c>
      <c r="D95" s="133">
        <f>600+69+9+48.5+2.5+299.7+50.5+190.4+1.3+10.6+6.7+53.3-0.1+0.9</f>
        <v>1342.3000000000002</v>
      </c>
      <c r="E95" s="134">
        <f>D95/D94*100</f>
        <v>6.001788508830764</v>
      </c>
      <c r="F95" s="135">
        <f t="shared" si="10"/>
        <v>68.62474437627813</v>
      </c>
      <c r="G95" s="136">
        <f>D95/C95*100</f>
        <v>27.655190885304</v>
      </c>
      <c r="H95" s="125">
        <f t="shared" si="11"/>
        <v>613.6999999999998</v>
      </c>
      <c r="I95" s="96">
        <f>C95-D95</f>
        <v>3511.3999999999996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3619.8+6.5</f>
        <v>3626.3</v>
      </c>
      <c r="C101" s="105">
        <f>6061.2+4589.8-16.4-3.1</f>
        <v>10631.5</v>
      </c>
      <c r="D101" s="90">
        <f>110.5+80.7+66.2+55.7+33+106.8+21.7+2.2+3.9+0.4+5.9+27.7+127.6+1.1+13.8+50.2+3.3+23.2+111+21.4+3.2+5.8+132.8+36.6+20.9+0.1+13.6+84.8+20.8+33.6+130.7+63.1+21.1+62.1+181.2+8.2</f>
        <v>1684.8999999999994</v>
      </c>
      <c r="E101" s="25">
        <f>D101/D144*100</f>
        <v>0.5669969353426966</v>
      </c>
      <c r="F101" s="25">
        <f>D101/B101*100</f>
        <v>46.46333728593881</v>
      </c>
      <c r="G101" s="25">
        <f aca="true" t="shared" si="12" ref="G101:G142">D101/C101*100</f>
        <v>15.848186991487555</v>
      </c>
      <c r="H101" s="25">
        <f aca="true" t="shared" si="13" ref="H101:H106">B101-D101</f>
        <v>1941.4000000000008</v>
      </c>
      <c r="I101" s="25">
        <f aca="true" t="shared" si="14" ref="I101:I142">C101-D101</f>
        <v>8946.6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3266.8+6.5</f>
        <v>3273.3</v>
      </c>
      <c r="C103" s="51">
        <f>5036.9+4586-16.4-3.1</f>
        <v>9603.4</v>
      </c>
      <c r="D103" s="51">
        <f>110.3+80.7+66.2+32.9+19.7+106.6+21.7+3.9+5.8+27.6+127.6+1.1+0.1+13.7+10.7+3.3+110.8+21.4+3.1+2+132.8+20.9+0.1+78+20.6+33.3+130.5+62.7+21+24.6+165.3+8.1</f>
        <v>1467.1</v>
      </c>
      <c r="E103" s="1">
        <f>D103/D101*100</f>
        <v>87.07341681998935</v>
      </c>
      <c r="F103" s="1">
        <f aca="true" t="shared" si="15" ref="F103:F142">D103/B103*100</f>
        <v>44.820212018452324</v>
      </c>
      <c r="G103" s="1">
        <f t="shared" si="12"/>
        <v>15.276881104608783</v>
      </c>
      <c r="H103" s="1">
        <f t="shared" si="13"/>
        <v>1806.2000000000003</v>
      </c>
      <c r="I103" s="1">
        <f t="shared" si="14"/>
        <v>8136.299999999999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353</v>
      </c>
      <c r="C105" s="100">
        <f>C101-C102-C103</f>
        <v>1028.1000000000004</v>
      </c>
      <c r="D105" s="100">
        <f>D101-D102-D103</f>
        <v>217.7999999999995</v>
      </c>
      <c r="E105" s="96">
        <f>D105/D101*100</f>
        <v>12.92658318001066</v>
      </c>
      <c r="F105" s="96">
        <f t="shared" si="15"/>
        <v>61.69971671388088</v>
      </c>
      <c r="G105" s="96">
        <f t="shared" si="12"/>
        <v>21.184709658593466</v>
      </c>
      <c r="H105" s="96">
        <f>B105-D105</f>
        <v>135.2000000000005</v>
      </c>
      <c r="I105" s="96">
        <f t="shared" si="14"/>
        <v>810.3000000000009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70557.1</v>
      </c>
      <c r="C106" s="93">
        <f>SUM(C107:C141)-C114-C118+C142-C134-C135-C108-C111-C121-C122-C132</f>
        <v>149613.8</v>
      </c>
      <c r="D106" s="93">
        <f>SUM(D107:D141)-D114-D118+D142-D134-D135-D108-D111-D121-D122-D132</f>
        <v>57206.5</v>
      </c>
      <c r="E106" s="94">
        <f>D106/D144*100</f>
        <v>19.250940816476934</v>
      </c>
      <c r="F106" s="94">
        <f>D106/B106*100</f>
        <v>81.07830395523625</v>
      </c>
      <c r="G106" s="94">
        <f t="shared" si="12"/>
        <v>38.2361119094629</v>
      </c>
      <c r="H106" s="94">
        <f t="shared" si="13"/>
        <v>13350.600000000006</v>
      </c>
      <c r="I106" s="94">
        <f t="shared" si="14"/>
        <v>92407.29999999999</v>
      </c>
    </row>
    <row r="107" spans="1:9" ht="37.5">
      <c r="A107" s="34" t="s">
        <v>67</v>
      </c>
      <c r="B107" s="78">
        <v>948.9</v>
      </c>
      <c r="C107" s="74">
        <f>1662.5+137.3</f>
        <v>1799.8</v>
      </c>
      <c r="D107" s="79">
        <f>114.2+9+1.8-0.1+90.7+22.4+38.1+76.9+3.3+8.3+1.4+33.8+39+2.5+0.1+67.3+0.2+4+0.9+2.5+0.8+0.4+3.1+0.1+83.9</f>
        <v>604.6</v>
      </c>
      <c r="E107" s="6">
        <f>D107/D106*100</f>
        <v>1.056872907798939</v>
      </c>
      <c r="F107" s="6">
        <f t="shared" si="15"/>
        <v>63.71588154705449</v>
      </c>
      <c r="G107" s="6">
        <f t="shared" si="12"/>
        <v>33.59262140237804</v>
      </c>
      <c r="H107" s="6">
        <f aca="true" t="shared" si="16" ref="H107:H142">B107-D107</f>
        <v>344.29999999999995</v>
      </c>
      <c r="I107" s="6">
        <f t="shared" si="14"/>
        <v>1195.1999999999998</v>
      </c>
    </row>
    <row r="108" spans="1:9" ht="18">
      <c r="A108" s="29" t="s">
        <v>33</v>
      </c>
      <c r="B108" s="81">
        <v>428.8</v>
      </c>
      <c r="C108" s="51">
        <v>823.7</v>
      </c>
      <c r="D108" s="82">
        <f>96.8+90.7+64.1+48.5+58.1</f>
        <v>358.20000000000005</v>
      </c>
      <c r="E108" s="1"/>
      <c r="F108" s="1">
        <f t="shared" si="15"/>
        <v>83.53544776119404</v>
      </c>
      <c r="G108" s="1">
        <f t="shared" si="12"/>
        <v>43.48670632511838</v>
      </c>
      <c r="H108" s="1">
        <f t="shared" si="16"/>
        <v>70.59999999999997</v>
      </c>
      <c r="I108" s="1">
        <f t="shared" si="14"/>
        <v>465.5</v>
      </c>
    </row>
    <row r="109" spans="1:9" ht="34.5" customHeight="1">
      <c r="A109" s="17" t="s">
        <v>100</v>
      </c>
      <c r="B109" s="80">
        <v>392.1</v>
      </c>
      <c r="C109" s="68">
        <v>903.8</v>
      </c>
      <c r="D109" s="79">
        <f>20.7+31.6+0.1+27.7-0.1</f>
        <v>80</v>
      </c>
      <c r="E109" s="6">
        <f>D109/D106*100</f>
        <v>0.13984424846826846</v>
      </c>
      <c r="F109" s="6">
        <f>D109/B109*100</f>
        <v>20.4029584289722</v>
      </c>
      <c r="G109" s="6">
        <f t="shared" si="12"/>
        <v>8.851515822084533</v>
      </c>
      <c r="H109" s="6">
        <f t="shared" si="16"/>
        <v>312.1</v>
      </c>
      <c r="I109" s="6">
        <f t="shared" si="14"/>
        <v>823.8</v>
      </c>
    </row>
    <row r="110" spans="1:9" s="44" customFormat="1" ht="34.5" customHeight="1">
      <c r="A110" s="17" t="s">
        <v>75</v>
      </c>
      <c r="B110" s="80">
        <v>45.3</v>
      </c>
      <c r="C110" s="60">
        <f>71.8+12.8</f>
        <v>84.6</v>
      </c>
      <c r="D110" s="83">
        <f>5.3+5.3+0.5+1.7+6</f>
        <v>18.799999999999997</v>
      </c>
      <c r="E110" s="6">
        <f>D110/D106*100</f>
        <v>0.03286339839004308</v>
      </c>
      <c r="F110" s="6">
        <f t="shared" si="15"/>
        <v>41.50110375275938</v>
      </c>
      <c r="G110" s="6">
        <f t="shared" si="12"/>
        <v>22.22222222222222</v>
      </c>
      <c r="H110" s="6">
        <f t="shared" si="16"/>
        <v>26.5</v>
      </c>
      <c r="I110" s="6">
        <f t="shared" si="14"/>
        <v>65.8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28</v>
      </c>
      <c r="C112" s="68">
        <v>67.4</v>
      </c>
      <c r="D112" s="79">
        <f>5.5+5.4+5.5+5.5</f>
        <v>21.9</v>
      </c>
      <c r="E112" s="6">
        <f>D112/D106*100</f>
        <v>0.038282363018188485</v>
      </c>
      <c r="F112" s="6">
        <f t="shared" si="15"/>
        <v>78.21428571428571</v>
      </c>
      <c r="G112" s="6">
        <f t="shared" si="12"/>
        <v>32.49258160237388</v>
      </c>
      <c r="H112" s="6">
        <f t="shared" si="16"/>
        <v>6.100000000000001</v>
      </c>
      <c r="I112" s="6">
        <f t="shared" si="14"/>
        <v>45.50000000000001</v>
      </c>
    </row>
    <row r="113" spans="1:9" ht="37.5">
      <c r="A113" s="17" t="s">
        <v>47</v>
      </c>
      <c r="B113" s="80">
        <v>693.5</v>
      </c>
      <c r="C113" s="68">
        <v>1532.5</v>
      </c>
      <c r="D113" s="79">
        <f>96.4+0.6+6.3+86+10.4+21.5+5.3+0.1+11.6+102.1+10.6+3.5+5.6+100.7</f>
        <v>460.70000000000005</v>
      </c>
      <c r="E113" s="6">
        <f>D113/D106*100</f>
        <v>0.8053280658666411</v>
      </c>
      <c r="F113" s="6">
        <f t="shared" si="15"/>
        <v>66.43114635904831</v>
      </c>
      <c r="G113" s="6">
        <f t="shared" si="12"/>
        <v>30.06199021207178</v>
      </c>
      <c r="H113" s="6">
        <f t="shared" si="16"/>
        <v>232.79999999999995</v>
      </c>
      <c r="I113" s="6">
        <f t="shared" si="14"/>
        <v>1071.8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0.06292991181072081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196.7</v>
      </c>
      <c r="C116" s="68">
        <v>245.2</v>
      </c>
      <c r="D116" s="79">
        <f>19.1</f>
        <v>19.1</v>
      </c>
      <c r="E116" s="6">
        <f>D116/D106*100</f>
        <v>0.033387814321799096</v>
      </c>
      <c r="F116" s="6">
        <f>D116/B116*100</f>
        <v>9.710218607015761</v>
      </c>
      <c r="G116" s="6">
        <f t="shared" si="12"/>
        <v>7.789559543230016</v>
      </c>
      <c r="H116" s="6">
        <f t="shared" si="16"/>
        <v>177.6</v>
      </c>
      <c r="I116" s="6">
        <f t="shared" si="14"/>
        <v>226.1</v>
      </c>
    </row>
    <row r="117" spans="1:9" s="2" customFormat="1" ht="18.75">
      <c r="A117" s="17" t="s">
        <v>16</v>
      </c>
      <c r="B117" s="80">
        <v>109.6</v>
      </c>
      <c r="C117" s="60">
        <f>199.6+4.8</f>
        <v>204.4</v>
      </c>
      <c r="D117" s="79">
        <f>1.6+18.3+17.8+0.8+2.2+4+0.6+16.7+3.7+3.6+16.7</f>
        <v>86</v>
      </c>
      <c r="E117" s="6">
        <f>D117/D106*100</f>
        <v>0.1503325671033886</v>
      </c>
      <c r="F117" s="6">
        <f t="shared" si="15"/>
        <v>78.46715328467153</v>
      </c>
      <c r="G117" s="6">
        <f t="shared" si="12"/>
        <v>42.07436399217221</v>
      </c>
      <c r="H117" s="6">
        <f t="shared" si="16"/>
        <v>23.599999999999994</v>
      </c>
      <c r="I117" s="6">
        <f t="shared" si="14"/>
        <v>118.4</v>
      </c>
    </row>
    <row r="118" spans="1:9" s="39" customFormat="1" ht="18">
      <c r="A118" s="40" t="s">
        <v>54</v>
      </c>
      <c r="B118" s="81">
        <v>83.6</v>
      </c>
      <c r="C118" s="51">
        <v>150.8</v>
      </c>
      <c r="D118" s="82">
        <f>16.7+16.7+16.7+16.7</f>
        <v>66.8</v>
      </c>
      <c r="E118" s="1"/>
      <c r="F118" s="1">
        <f t="shared" si="15"/>
        <v>79.9043062200957</v>
      </c>
      <c r="G118" s="1">
        <f t="shared" si="12"/>
        <v>44.29708222811671</v>
      </c>
      <c r="H118" s="1">
        <f t="shared" si="16"/>
        <v>16.799999999999997</v>
      </c>
      <c r="I118" s="1">
        <f t="shared" si="14"/>
        <v>84.00000000000001</v>
      </c>
    </row>
    <row r="119" spans="1:9" s="2" customFormat="1" ht="18.75">
      <c r="A119" s="17" t="s">
        <v>25</v>
      </c>
      <c r="B119" s="80">
        <v>964.6</v>
      </c>
      <c r="C119" s="60">
        <f>1468.8+249.6</f>
        <v>1718.3999999999999</v>
      </c>
      <c r="D119" s="79">
        <f>249.6</f>
        <v>249.6</v>
      </c>
      <c r="E119" s="6">
        <f>D119/D106*100</f>
        <v>0.43631405522099764</v>
      </c>
      <c r="F119" s="6">
        <f t="shared" si="15"/>
        <v>25.87601078167116</v>
      </c>
      <c r="G119" s="6">
        <f t="shared" si="12"/>
        <v>14.52513966480447</v>
      </c>
      <c r="H119" s="6">
        <f t="shared" si="16"/>
        <v>715</v>
      </c>
      <c r="I119" s="6">
        <f t="shared" si="14"/>
        <v>1468.8</v>
      </c>
    </row>
    <row r="120" spans="1:9" s="2" customFormat="1" ht="21.75" customHeight="1">
      <c r="A120" s="17" t="s">
        <v>45</v>
      </c>
      <c r="B120" s="80">
        <v>1251</v>
      </c>
      <c r="C120" s="60">
        <f>628+70+553</f>
        <v>1251</v>
      </c>
      <c r="D120" s="83">
        <f>110.6</f>
        <v>110.6</v>
      </c>
      <c r="E120" s="19">
        <f>D120/D106*100</f>
        <v>0.19333467350738112</v>
      </c>
      <c r="F120" s="6">
        <f t="shared" si="15"/>
        <v>8.840927258193444</v>
      </c>
      <c r="G120" s="6">
        <f t="shared" si="12"/>
        <v>8.840927258193444</v>
      </c>
      <c r="H120" s="6">
        <f t="shared" si="16"/>
        <v>1140.4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795.1</v>
      </c>
      <c r="C123" s="60">
        <v>2933.8</v>
      </c>
      <c r="D123" s="83">
        <f>21+0.9+174.2+5+11.4</f>
        <v>212.5</v>
      </c>
      <c r="E123" s="19">
        <f>D123/D106*100</f>
        <v>0.3714612849938381</v>
      </c>
      <c r="F123" s="6">
        <f t="shared" si="15"/>
        <v>26.726197962520438</v>
      </c>
      <c r="G123" s="6">
        <f t="shared" si="12"/>
        <v>7.243165859976822</v>
      </c>
      <c r="H123" s="6">
        <f t="shared" si="16"/>
        <v>582.6</v>
      </c>
      <c r="I123" s="6">
        <f t="shared" si="14"/>
        <v>2721.3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0.22707209845035095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0.0034961062117067117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113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v>94.6</v>
      </c>
      <c r="C127" s="60">
        <f>101.4+27.9</f>
        <v>129.3</v>
      </c>
      <c r="D127" s="83">
        <f>3+3+4.9+21.9-0.1+12.2+1.6+6.9+7.8+0.7+8.4+2.4</f>
        <v>72.7</v>
      </c>
      <c r="E127" s="19">
        <f>D127/D106*100</f>
        <v>0.12708346079553898</v>
      </c>
      <c r="F127" s="6">
        <f t="shared" si="15"/>
        <v>76.84989429175477</v>
      </c>
      <c r="G127" s="6">
        <f t="shared" si="12"/>
        <v>56.22583139984532</v>
      </c>
      <c r="H127" s="6">
        <f t="shared" si="16"/>
        <v>21.89999999999999</v>
      </c>
      <c r="I127" s="6">
        <f t="shared" si="14"/>
        <v>56.60000000000001</v>
      </c>
    </row>
    <row r="128" spans="1:9" s="2" customFormat="1" ht="18.75">
      <c r="A128" s="17" t="s">
        <v>72</v>
      </c>
      <c r="B128" s="80">
        <v>236.7</v>
      </c>
      <c r="C128" s="60">
        <v>650</v>
      </c>
      <c r="D128" s="83">
        <f>8.7+23.6+6.2+5.1+38.5+4.6+4.8+8.6</f>
        <v>100.09999999999998</v>
      </c>
      <c r="E128" s="19">
        <f>D128/D106*100</f>
        <v>0.17498011589592088</v>
      </c>
      <c r="F128" s="6">
        <f t="shared" si="15"/>
        <v>42.28981833544571</v>
      </c>
      <c r="G128" s="6">
        <f t="shared" si="12"/>
        <v>15.399999999999997</v>
      </c>
      <c r="H128" s="6">
        <f t="shared" si="16"/>
        <v>136.60000000000002</v>
      </c>
      <c r="I128" s="6">
        <f t="shared" si="14"/>
        <v>549.9</v>
      </c>
    </row>
    <row r="129" spans="1:9" s="2" customFormat="1" ht="35.25" customHeight="1">
      <c r="A129" s="17" t="s">
        <v>71</v>
      </c>
      <c r="B129" s="80">
        <v>46.7</v>
      </c>
      <c r="C129" s="60">
        <f>171.5+14.8-110</f>
        <v>76.30000000000001</v>
      </c>
      <c r="D129" s="83">
        <f>5.6+5.6+3.5+1.3+1.8</f>
        <v>17.8</v>
      </c>
      <c r="E129" s="19">
        <f>D129/D106*100</f>
        <v>0.031115345284189733</v>
      </c>
      <c r="F129" s="6">
        <f t="shared" si="15"/>
        <v>38.11563169164882</v>
      </c>
      <c r="G129" s="6">
        <f t="shared" si="12"/>
        <v>23.32896461336828</v>
      </c>
      <c r="H129" s="6">
        <f t="shared" si="16"/>
        <v>28.900000000000002</v>
      </c>
      <c r="I129" s="6">
        <f t="shared" si="14"/>
        <v>58.500000000000014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112</v>
      </c>
      <c r="B131" s="80">
        <v>265.1</v>
      </c>
      <c r="C131" s="60">
        <v>265.1</v>
      </c>
      <c r="D131" s="83">
        <f>59.9+7.6</f>
        <v>67.5</v>
      </c>
      <c r="E131" s="19">
        <f>D131/D106*100</f>
        <v>0.11799358464510151</v>
      </c>
      <c r="F131" s="6">
        <f t="shared" si="15"/>
        <v>25.462089777442472</v>
      </c>
      <c r="G131" s="6">
        <f>D131/C131*100</f>
        <v>25.462089777442472</v>
      </c>
      <c r="H131" s="6">
        <f t="shared" si="16"/>
        <v>197.60000000000002</v>
      </c>
      <c r="I131" s="6">
        <f t="shared" si="14"/>
        <v>197.60000000000002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>
        <f>7.6</f>
        <v>7.6</v>
      </c>
      <c r="E132" s="1"/>
      <c r="F132" s="1">
        <f t="shared" si="15"/>
        <v>11.838006230529594</v>
      </c>
      <c r="G132" s="1">
        <f>D132/C132*100</f>
        <v>11.838006230529594</v>
      </c>
      <c r="H132" s="1">
        <f t="shared" si="16"/>
        <v>56.6</v>
      </c>
      <c r="I132" s="1">
        <f t="shared" si="14"/>
        <v>56.6</v>
      </c>
    </row>
    <row r="133" spans="1:9" s="2" customFormat="1" ht="18.75">
      <c r="A133" s="17" t="s">
        <v>32</v>
      </c>
      <c r="B133" s="80">
        <v>406.9</v>
      </c>
      <c r="C133" s="60">
        <f>981.9+3.8</f>
        <v>985.6999999999999</v>
      </c>
      <c r="D133" s="83">
        <f>21.9+41.8+0.1+6.1+26+3.6+0.1+41-0.1+21.3+6.2+7.1+43.4+4.5+8.8+48.5+7.5+32.1+0.1+41.9</f>
        <v>361.9</v>
      </c>
      <c r="E133" s="19">
        <f>D133/D106*100</f>
        <v>0.6326204190083294</v>
      </c>
      <c r="F133" s="6">
        <f t="shared" si="15"/>
        <v>88.94077168837552</v>
      </c>
      <c r="G133" s="6">
        <f t="shared" si="12"/>
        <v>36.71502485543269</v>
      </c>
      <c r="H133" s="6">
        <f t="shared" si="16"/>
        <v>45</v>
      </c>
      <c r="I133" s="6">
        <f t="shared" si="14"/>
        <v>623.8</v>
      </c>
    </row>
    <row r="134" spans="1:9" s="39" customFormat="1" ht="18">
      <c r="A134" s="40" t="s">
        <v>54</v>
      </c>
      <c r="B134" s="81">
        <v>335.2</v>
      </c>
      <c r="C134" s="51">
        <v>848.7</v>
      </c>
      <c r="D134" s="82">
        <f>21.9+39.7+0.1+6.1+19+41-0.1+21.3+43.3+8.5+32.3+32.1+41.5</f>
        <v>306.70000000000005</v>
      </c>
      <c r="E134" s="1">
        <f>D134/D133*100</f>
        <v>84.74716772589115</v>
      </c>
      <c r="F134" s="1">
        <f aca="true" t="shared" si="17" ref="F134:F141">D134/B134*100</f>
        <v>91.49761336515515</v>
      </c>
      <c r="G134" s="1">
        <f t="shared" si="12"/>
        <v>36.137622245787675</v>
      </c>
      <c r="H134" s="1">
        <f t="shared" si="16"/>
        <v>28.499999999999943</v>
      </c>
      <c r="I134" s="1">
        <f t="shared" si="14"/>
        <v>542</v>
      </c>
    </row>
    <row r="135" spans="1:9" s="39" customFormat="1" ht="18">
      <c r="A135" s="29" t="s">
        <v>33</v>
      </c>
      <c r="B135" s="81">
        <v>21.2</v>
      </c>
      <c r="C135" s="51">
        <v>26.3</v>
      </c>
      <c r="D135" s="82">
        <f>7+6+0.2+7.1+0.1+0.4</f>
        <v>20.799999999999997</v>
      </c>
      <c r="E135" s="1">
        <f>D135/D133*100</f>
        <v>5.747444045316385</v>
      </c>
      <c r="F135" s="1">
        <f t="shared" si="17"/>
        <v>98.11320754716981</v>
      </c>
      <c r="G135" s="1">
        <f>D135/C135*100</f>
        <v>79.08745247148288</v>
      </c>
      <c r="H135" s="1">
        <f t="shared" si="16"/>
        <v>0.40000000000000213</v>
      </c>
      <c r="I135" s="1">
        <f t="shared" si="14"/>
        <v>5.5000000000000036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23" t="s">
        <v>109</v>
      </c>
      <c r="B137" s="80">
        <f>2800-1300</f>
        <v>1500</v>
      </c>
      <c r="C137" s="60">
        <f>6500-2076</f>
        <v>4424</v>
      </c>
      <c r="D137" s="83">
        <f>241.3</f>
        <v>241.3</v>
      </c>
      <c r="E137" s="19">
        <f>D137/D106*100</f>
        <v>0.4218052144424148</v>
      </c>
      <c r="F137" s="113">
        <f t="shared" si="17"/>
        <v>16.08666666666667</v>
      </c>
      <c r="G137" s="6">
        <f t="shared" si="12"/>
        <v>5.454339963833635</v>
      </c>
      <c r="H137" s="6">
        <f t="shared" si="16"/>
        <v>1258.7</v>
      </c>
      <c r="I137" s="6">
        <f t="shared" si="14"/>
        <v>4182.7</v>
      </c>
    </row>
    <row r="138" spans="1:9" s="2" customFormat="1" ht="18.75">
      <c r="A138" s="23" t="s">
        <v>111</v>
      </c>
      <c r="B138" s="80">
        <v>2994.5</v>
      </c>
      <c r="C138" s="60">
        <v>6082.6</v>
      </c>
      <c r="D138" s="83">
        <f>626.1+43.8+40.3+236</f>
        <v>946.1999999999999</v>
      </c>
      <c r="E138" s="19">
        <f>D138/D106*100</f>
        <v>1.654007848758445</v>
      </c>
      <c r="F138" s="113">
        <f t="shared" si="17"/>
        <v>31.597929537485385</v>
      </c>
      <c r="G138" s="6">
        <f t="shared" si="12"/>
        <v>15.555847828231345</v>
      </c>
      <c r="H138" s="6">
        <f t="shared" si="16"/>
        <v>2048.3</v>
      </c>
      <c r="I138" s="6">
        <f t="shared" si="14"/>
        <v>5136.400000000001</v>
      </c>
    </row>
    <row r="139" spans="1:9" s="2" customFormat="1" ht="18.75">
      <c r="A139" s="17" t="s">
        <v>27</v>
      </c>
      <c r="B139" s="80">
        <v>4188</v>
      </c>
      <c r="C139" s="60">
        <v>8376</v>
      </c>
      <c r="D139" s="83">
        <f>2094</f>
        <v>2094</v>
      </c>
      <c r="E139" s="19">
        <f>D139/D106*100</f>
        <v>3.660423203656927</v>
      </c>
      <c r="F139" s="113">
        <f t="shared" si="17"/>
        <v>50</v>
      </c>
      <c r="G139" s="6">
        <f t="shared" si="12"/>
        <v>25</v>
      </c>
      <c r="H139" s="6">
        <f t="shared" si="16"/>
        <v>2094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507.8+15.4+15</f>
        <v>538.2</v>
      </c>
      <c r="E140" s="19">
        <f>D140/D106*100</f>
        <v>0.9408021815702762</v>
      </c>
      <c r="F140" s="113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  <c r="K140" s="45"/>
      <c r="L140" s="45"/>
    </row>
    <row r="141" spans="1:12" s="2" customFormat="1" ht="19.5" customHeight="1">
      <c r="A141" s="17" t="s">
        <v>65</v>
      </c>
      <c r="B141" s="80">
        <f>43569.3+1315.6</f>
        <v>44884.9</v>
      </c>
      <c r="C141" s="60">
        <f>91632.1+2530</f>
        <v>94162.1</v>
      </c>
      <c r="D141" s="83">
        <f>500.9+20883.8+13804+7506.8</f>
        <v>42695.5</v>
      </c>
      <c r="E141" s="19">
        <f>D141/D106*100</f>
        <v>74.63400138096196</v>
      </c>
      <c r="F141" s="6">
        <f t="shared" si="17"/>
        <v>95.12219031344617</v>
      </c>
      <c r="G141" s="6">
        <f t="shared" si="12"/>
        <v>45.34255289548555</v>
      </c>
      <c r="H141" s="6">
        <f t="shared" si="16"/>
        <v>2189.4000000000015</v>
      </c>
      <c r="I141" s="6">
        <f t="shared" si="14"/>
        <v>51466.600000000006</v>
      </c>
      <c r="K141" s="103"/>
      <c r="L141" s="45"/>
    </row>
    <row r="142" spans="1:12" s="2" customFormat="1" ht="18.75">
      <c r="A142" s="17" t="s">
        <v>103</v>
      </c>
      <c r="B142" s="80">
        <v>9276.5</v>
      </c>
      <c r="C142" s="60">
        <v>22263.4</v>
      </c>
      <c r="D142" s="83">
        <f>1236.9+618.4+618.4+618.4+618.5+618.4+618.4+618.5+618.4+618.4+618.5+618.4</f>
        <v>8039.5999999999985</v>
      </c>
      <c r="E142" s="19">
        <f>D142/D106*100</f>
        <v>14.053647749818637</v>
      </c>
      <c r="F142" s="6">
        <f t="shared" si="15"/>
        <v>86.66630733574084</v>
      </c>
      <c r="G142" s="6">
        <f t="shared" si="12"/>
        <v>36.11128578743587</v>
      </c>
      <c r="H142" s="6">
        <f t="shared" si="16"/>
        <v>1236.9000000000015</v>
      </c>
      <c r="I142" s="6">
        <f t="shared" si="14"/>
        <v>14223.800000000003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74801.5</v>
      </c>
      <c r="C143" s="84">
        <f>C43+C68+C71+C76+C78+C86+C101+C106+C99+C83+C97</f>
        <v>162401.3</v>
      </c>
      <c r="D143" s="60">
        <f>D43+D68+D71+D76+D78+D86+D101+D106+D99+D83+D97</f>
        <v>59312.7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378985.8</v>
      </c>
      <c r="C144" s="54">
        <f>C6+C18+C33+C43+C51+C58+C68+C71+C76+C78+C86+C89+C94+C101+C106+C99+C83+C97+C45</f>
        <v>896182.7000000001</v>
      </c>
      <c r="D144" s="54">
        <f>D6+D18+D33+D43+D51+D58+D68+D71+D76+D78+D86+D89+D94+D101+D106+D99+D83+D97+D45</f>
        <v>297162.1</v>
      </c>
      <c r="E144" s="38">
        <v>100</v>
      </c>
      <c r="F144" s="3">
        <f>D144/B144*100</f>
        <v>78.40982432587184</v>
      </c>
      <c r="G144" s="3">
        <f aca="true" t="shared" si="18" ref="G144:G150">D144/C144*100</f>
        <v>33.158651690107384</v>
      </c>
      <c r="H144" s="3">
        <f aca="true" t="shared" si="19" ref="H144:H150">B144-D144</f>
        <v>81823.70000000001</v>
      </c>
      <c r="I144" s="3">
        <f aca="true" t="shared" si="20" ref="I144:I150">C144-D144</f>
        <v>599020.6000000001</v>
      </c>
      <c r="K144" s="46"/>
      <c r="L144" s="47"/>
    </row>
    <row r="145" spans="1:12" ht="18.75">
      <c r="A145" s="23" t="s">
        <v>5</v>
      </c>
      <c r="B145" s="67">
        <f>B8+B20+B34+B52+B59+B90+B114+B118+B46+B134</f>
        <v>206382.4</v>
      </c>
      <c r="C145" s="67">
        <f>C8+C20+C34+C52+C59+C90+C114+C118+C46+C134</f>
        <v>507335.6</v>
      </c>
      <c r="D145" s="67">
        <f>D8+D20+D34+D52+D59+D90+D114+D118+D46+D134</f>
        <v>162645.59999999998</v>
      </c>
      <c r="E145" s="6">
        <f>D145/D144*100</f>
        <v>54.73295551485199</v>
      </c>
      <c r="F145" s="6">
        <f aca="true" t="shared" si="21" ref="F145:F156">D145/B145*100</f>
        <v>78.807882842723</v>
      </c>
      <c r="G145" s="6">
        <f t="shared" si="18"/>
        <v>32.058779238042824</v>
      </c>
      <c r="H145" s="6">
        <f t="shared" si="19"/>
        <v>43736.80000000002</v>
      </c>
      <c r="I145" s="18">
        <f t="shared" si="20"/>
        <v>344690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43174.69999999999</v>
      </c>
      <c r="C146" s="68">
        <f>C11+C23+C36+C55+C61+C91+C49+C135+C108+C111+C95+C132</f>
        <v>99330.7</v>
      </c>
      <c r="D146" s="68">
        <f>D11+D23+D36+D55+D61+D91+D49+D135+D108+D111+D95+D132</f>
        <v>33049</v>
      </c>
      <c r="E146" s="6">
        <f>D146/D144*100</f>
        <v>11.121539388771314</v>
      </c>
      <c r="F146" s="6">
        <f t="shared" si="21"/>
        <v>76.54714450824211</v>
      </c>
      <c r="G146" s="6">
        <f t="shared" si="18"/>
        <v>33.27168740379359</v>
      </c>
      <c r="H146" s="6">
        <f t="shared" si="19"/>
        <v>10125.69999999999</v>
      </c>
      <c r="I146" s="18">
        <f t="shared" si="20"/>
        <v>66281.7</v>
      </c>
      <c r="K146" s="46"/>
      <c r="L146" s="102"/>
    </row>
    <row r="147" spans="1:12" ht="18.75">
      <c r="A147" s="23" t="s">
        <v>1</v>
      </c>
      <c r="B147" s="67">
        <f>B22+B10+B54+B48+B60+B35+B102+B122</f>
        <v>10466.400000000001</v>
      </c>
      <c r="C147" s="67">
        <f>C22+C10+C54+C48+C60+C35+C102+C122</f>
        <v>25686.8</v>
      </c>
      <c r="D147" s="67">
        <f>D22+D10+D54+D48+D60+D35+D102+D122</f>
        <v>7572.4</v>
      </c>
      <c r="E147" s="6">
        <f>D147/D144*100</f>
        <v>2.5482388231877486</v>
      </c>
      <c r="F147" s="6">
        <f t="shared" si="21"/>
        <v>72.34961400290452</v>
      </c>
      <c r="G147" s="6">
        <f t="shared" si="18"/>
        <v>29.479732781039285</v>
      </c>
      <c r="H147" s="6">
        <f t="shared" si="19"/>
        <v>2894.000000000002</v>
      </c>
      <c r="I147" s="18">
        <f t="shared" si="20"/>
        <v>18114.4</v>
      </c>
      <c r="K147" s="46"/>
      <c r="L147" s="47"/>
    </row>
    <row r="148" spans="1:12" ht="21" customHeight="1">
      <c r="A148" s="23" t="s">
        <v>15</v>
      </c>
      <c r="B148" s="67">
        <f>B12+B24+B103+B62+B38+B92</f>
        <v>5491</v>
      </c>
      <c r="C148" s="67">
        <f>C12+C24+C103+C62+C38+C92</f>
        <v>14593.8</v>
      </c>
      <c r="D148" s="67">
        <f>D12+D24+D103+D62+D38+D92</f>
        <v>1959.2999999999997</v>
      </c>
      <c r="E148" s="6">
        <f>D148/D144*100</f>
        <v>0.6593371092747022</v>
      </c>
      <c r="F148" s="6">
        <f t="shared" si="21"/>
        <v>35.682025132034234</v>
      </c>
      <c r="G148" s="6">
        <f t="shared" si="18"/>
        <v>13.42556428072195</v>
      </c>
      <c r="H148" s="6">
        <f t="shared" si="19"/>
        <v>3531.7000000000003</v>
      </c>
      <c r="I148" s="18">
        <f t="shared" si="20"/>
        <v>12634.5</v>
      </c>
      <c r="K148" s="46"/>
      <c r="L148" s="102"/>
    </row>
    <row r="149" spans="1:12" ht="18.75">
      <c r="A149" s="23" t="s">
        <v>2</v>
      </c>
      <c r="B149" s="67">
        <f>B9+B21+B47+B53+B121</f>
        <v>3829.1</v>
      </c>
      <c r="C149" s="67">
        <f>C9+C21+C47+C53+C121</f>
        <v>12618.400000000001</v>
      </c>
      <c r="D149" s="67">
        <f>D9+D21+D47+D53+D121</f>
        <v>2138.8999999999996</v>
      </c>
      <c r="E149" s="6">
        <f>D149/D144*100</f>
        <v>0.7197755029998778</v>
      </c>
      <c r="F149" s="6">
        <f t="shared" si="21"/>
        <v>55.85907915698205</v>
      </c>
      <c r="G149" s="6">
        <f t="shared" si="18"/>
        <v>16.950643504723256</v>
      </c>
      <c r="H149" s="6">
        <f t="shared" si="19"/>
        <v>1690.2000000000003</v>
      </c>
      <c r="I149" s="18">
        <f t="shared" si="20"/>
        <v>10479.500000000002</v>
      </c>
      <c r="K149" s="46"/>
      <c r="L149" s="47"/>
    </row>
    <row r="150" spans="1:12" ht="19.5" thickBot="1">
      <c r="A150" s="23" t="s">
        <v>35</v>
      </c>
      <c r="B150" s="67">
        <f>B144-B145-B146-B147-B148-B149</f>
        <v>109642.20000000001</v>
      </c>
      <c r="C150" s="67">
        <f>C144-C145-C146-C147-C148-C149</f>
        <v>236617.4000000001</v>
      </c>
      <c r="D150" s="67">
        <f>D144-D145-D146-D147-D148-D149</f>
        <v>89796.90000000001</v>
      </c>
      <c r="E150" s="6">
        <f>D150/D144*100</f>
        <v>30.21815366091437</v>
      </c>
      <c r="F150" s="6">
        <f t="shared" si="21"/>
        <v>81.89994363484134</v>
      </c>
      <c r="G150" s="43">
        <f t="shared" si="18"/>
        <v>37.95025217925645</v>
      </c>
      <c r="H150" s="6">
        <f t="shared" si="19"/>
        <v>19845.300000000003</v>
      </c>
      <c r="I150" s="6">
        <f t="shared" si="20"/>
        <v>146820.50000000012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f>3301.9+496+2284.6</f>
        <v>6082.5</v>
      </c>
      <c r="C152" s="73">
        <f>3301.9+496+14356.4</f>
        <v>18154.3</v>
      </c>
      <c r="D152" s="73">
        <f>288.1+1522.4+951.8+530.2+8.8+0.5+0.1</f>
        <v>3301.9</v>
      </c>
      <c r="E152" s="15"/>
      <c r="F152" s="6">
        <f t="shared" si="21"/>
        <v>54.285244554048504</v>
      </c>
      <c r="G152" s="6">
        <f aca="true" t="shared" si="22" ref="G152:G161">D152/C152*100</f>
        <v>18.187977503952233</v>
      </c>
      <c r="H152" s="6">
        <f>B152-D152</f>
        <v>2780.6</v>
      </c>
      <c r="I152" s="6">
        <f aca="true" t="shared" si="23" ref="I152:I161">C152-D152</f>
        <v>14852.4</v>
      </c>
      <c r="J152" s="104"/>
      <c r="K152" s="46"/>
      <c r="L152" s="46"/>
    </row>
    <row r="153" spans="1:12" ht="18.75">
      <c r="A153" s="23" t="s">
        <v>22</v>
      </c>
      <c r="B153" s="88">
        <f>1942.8</f>
        <v>1942.8</v>
      </c>
      <c r="C153" s="67">
        <f>16860.5</f>
        <v>16860.5</v>
      </c>
      <c r="D153" s="67"/>
      <c r="E153" s="6"/>
      <c r="F153" s="6">
        <f t="shared" si="21"/>
        <v>0</v>
      </c>
      <c r="G153" s="6">
        <f t="shared" si="22"/>
        <v>0</v>
      </c>
      <c r="H153" s="6">
        <f aca="true" t="shared" si="24" ref="H153:H160">B153-D153</f>
        <v>1942.8</v>
      </c>
      <c r="I153" s="6">
        <f t="shared" si="23"/>
        <v>16860.5</v>
      </c>
      <c r="K153" s="46"/>
      <c r="L153" s="46"/>
    </row>
    <row r="154" spans="1:12" ht="18.75">
      <c r="A154" s="23" t="s">
        <v>61</v>
      </c>
      <c r="B154" s="88">
        <f>54197.2+1300+15.6+8940.2</f>
        <v>64453</v>
      </c>
      <c r="C154" s="67">
        <f>105956.2+2530+90940.4</f>
        <v>199426.59999999998</v>
      </c>
      <c r="D154" s="67">
        <f>72+2507+500.9+784.3+577.6+1236.9+2501.8+375+180.7+310.2-4.2+554.9+23.5+182.4+693.6-182.4</f>
        <v>10314.2</v>
      </c>
      <c r="E154" s="6"/>
      <c r="F154" s="6">
        <f t="shared" si="21"/>
        <v>16.002668611236096</v>
      </c>
      <c r="G154" s="6">
        <f t="shared" si="22"/>
        <v>5.171927917339012</v>
      </c>
      <c r="H154" s="6">
        <f t="shared" si="24"/>
        <v>54138.8</v>
      </c>
      <c r="I154" s="6">
        <f t="shared" si="23"/>
        <v>189112.39999999997</v>
      </c>
      <c r="K154" s="46"/>
      <c r="L154" s="46"/>
    </row>
    <row r="155" spans="1:12" ht="37.5">
      <c r="A155" s="23" t="s">
        <v>70</v>
      </c>
      <c r="B155" s="88">
        <v>309.4</v>
      </c>
      <c r="C155" s="67">
        <v>509.4</v>
      </c>
      <c r="D155" s="67"/>
      <c r="E155" s="6"/>
      <c r="F155" s="6">
        <f t="shared" si="21"/>
        <v>0</v>
      </c>
      <c r="G155" s="6">
        <f t="shared" si="22"/>
        <v>0</v>
      </c>
      <c r="H155" s="6">
        <f t="shared" si="24"/>
        <v>309.4</v>
      </c>
      <c r="I155" s="6">
        <f t="shared" si="23"/>
        <v>509.4</v>
      </c>
      <c r="K155" s="46"/>
      <c r="L155" s="46"/>
    </row>
    <row r="156" spans="1:12" ht="18.75">
      <c r="A156" s="23" t="s">
        <v>13</v>
      </c>
      <c r="B156" s="88">
        <v>1321</v>
      </c>
      <c r="C156" s="67">
        <f>54+13623.4</f>
        <v>13677.4</v>
      </c>
      <c r="D156" s="67">
        <f>5.2+5.1</f>
        <v>10.3</v>
      </c>
      <c r="E156" s="19"/>
      <c r="F156" s="6">
        <f t="shared" si="21"/>
        <v>0.7797123391370174</v>
      </c>
      <c r="G156" s="6">
        <f t="shared" si="22"/>
        <v>0.07530671033968445</v>
      </c>
      <c r="H156" s="6">
        <f t="shared" si="24"/>
        <v>1310.7</v>
      </c>
      <c r="I156" s="6">
        <f t="shared" si="23"/>
        <v>13667.1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593.6</v>
      </c>
      <c r="C158" s="67">
        <f>1212+158.6</f>
        <v>1370.6</v>
      </c>
      <c r="D158" s="67">
        <f>15.4</f>
        <v>15.4</v>
      </c>
      <c r="E158" s="19"/>
      <c r="F158" s="6">
        <f>D158/B158*100</f>
        <v>2.5943396226415096</v>
      </c>
      <c r="G158" s="6">
        <f t="shared" si="22"/>
        <v>1.1235955056179776</v>
      </c>
      <c r="H158" s="6">
        <f t="shared" si="24"/>
        <v>578.2</v>
      </c>
      <c r="I158" s="6">
        <f t="shared" si="23"/>
        <v>1355.1999999999998</v>
      </c>
    </row>
    <row r="159" spans="1:9" ht="19.5" customHeight="1">
      <c r="A159" s="23" t="s">
        <v>68</v>
      </c>
      <c r="B159" s="88">
        <v>307.6</v>
      </c>
      <c r="C159" s="67">
        <v>307.6</v>
      </c>
      <c r="D159" s="67"/>
      <c r="E159" s="19"/>
      <c r="F159" s="6">
        <f>D159/B159*100</f>
        <v>0</v>
      </c>
      <c r="G159" s="6">
        <f t="shared" si="22"/>
        <v>0</v>
      </c>
      <c r="H159" s="6">
        <f t="shared" si="24"/>
        <v>307.6</v>
      </c>
      <c r="I159" s="6">
        <f t="shared" si="23"/>
        <v>307.6</v>
      </c>
    </row>
    <row r="160" spans="1:9" ht="19.5" thickBot="1">
      <c r="A160" s="23" t="s">
        <v>62</v>
      </c>
      <c r="B160" s="88">
        <v>2650</v>
      </c>
      <c r="C160" s="89">
        <v>3718.8</v>
      </c>
      <c r="D160" s="89">
        <f>98.8+11.3+146.1+110.9-0.1+10.1</f>
        <v>377.1</v>
      </c>
      <c r="E160" s="24"/>
      <c r="F160" s="6">
        <f>D160/B160*100</f>
        <v>14.230188679245284</v>
      </c>
      <c r="G160" s="6">
        <f t="shared" si="22"/>
        <v>10.140367860600193</v>
      </c>
      <c r="H160" s="6">
        <f t="shared" si="24"/>
        <v>2272.9</v>
      </c>
      <c r="I160" s="6">
        <f t="shared" si="23"/>
        <v>3341.7000000000003</v>
      </c>
    </row>
    <row r="161" spans="1:9" ht="19.5" thickBot="1">
      <c r="A161" s="14" t="s">
        <v>20</v>
      </c>
      <c r="B161" s="90">
        <f>B144+B152+B156+B157+B153+B160+B159+B154+B158+B155</f>
        <v>456645.69999999995</v>
      </c>
      <c r="C161" s="90">
        <f>C144+C152+C156+C157+C153+C160+C159+C154+C158+C155</f>
        <v>1150207.9000000001</v>
      </c>
      <c r="D161" s="90">
        <f>D144+D152+D156+D157+D153+D160+D159+D154+D158+D155</f>
        <v>311181</v>
      </c>
      <c r="E161" s="25"/>
      <c r="F161" s="3">
        <f>D161/B161*100</f>
        <v>68.14495351647898</v>
      </c>
      <c r="G161" s="3">
        <f t="shared" si="22"/>
        <v>27.05432643959409</v>
      </c>
      <c r="H161" s="3">
        <f>B161-D161</f>
        <v>145464.69999999995</v>
      </c>
      <c r="I161" s="3">
        <f t="shared" si="23"/>
        <v>839026.9000000001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297162.1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896182.7000000001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297162.1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2015-04-30T09:48:06Z</cp:lastPrinted>
  <dcterms:created xsi:type="dcterms:W3CDTF">2000-06-20T04:48:00Z</dcterms:created>
  <dcterms:modified xsi:type="dcterms:W3CDTF">2015-05-12T07:30:11Z</dcterms:modified>
  <cp:category/>
  <cp:version/>
  <cp:contentType/>
  <cp:contentStatus/>
</cp:coreProperties>
</file>